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3.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4.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omments5.xml" ContentType="application/vnd.openxmlformats-officedocument.spreadsheetml.comments+xml"/>
  <Override PartName="/xl/drawings/drawing45.xml" ContentType="application/vnd.openxmlformats-officedocument.drawing+xml"/>
  <Override PartName="/xl/drawings/drawing46.xml" ContentType="application/vnd.openxmlformats-officedocument.drawing+xml"/>
  <Override PartName="/xl/comments6.xml" ContentType="application/vnd.openxmlformats-officedocument.spreadsheetml.comments+xml"/>
  <Override PartName="/xl/drawings/drawing47.xml" ContentType="application/vnd.openxmlformats-officedocument.drawing+xml"/>
  <Override PartName="/xl/drawings/drawing48.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G:\ESTADOS FINANCIEROS\2017\DOCUMENTO FINAL\"/>
    </mc:Choice>
  </mc:AlternateContent>
  <bookViews>
    <workbookView xWindow="0" yWindow="465" windowWidth="24000" windowHeight="8670"/>
  </bookViews>
  <sheets>
    <sheet name="Portada" sheetId="34" r:id="rId1"/>
    <sheet name="Indice" sheetId="33" r:id="rId2"/>
    <sheet name="Título Estados Financieros" sheetId="63" r:id="rId3"/>
    <sheet name="Estados Financieros" sheetId="104" r:id="rId4"/>
    <sheet name="Estado de Situación" sheetId="3" r:id="rId5"/>
    <sheet name="Estado Ingreso y Egreso" sheetId="5" r:id="rId6"/>
    <sheet name="Est_Flujo_efec" sheetId="6" r:id="rId7"/>
    <sheet name="Cambio-Patrimonio" sheetId="70" r:id="rId8"/>
    <sheet name="Informe Situación Presupuestari" sheetId="105" r:id="rId9"/>
    <sheet name="Estado Ing y Egresos" sheetId="4" r:id="rId10"/>
    <sheet name="Situac.Presup." sheetId="82" r:id="rId11"/>
    <sheet name="Resumen Ingresos por Sec.-Clase" sheetId="24" r:id="rId12"/>
    <sheet name="Resumen Egresos Sec.-Obj. Gasto" sheetId="25" r:id="rId13"/>
    <sheet name="Ingr por Seccion" sheetId="11" r:id="rId14"/>
    <sheet name="Egr x Seccion" sheetId="12" r:id="rId15"/>
    <sheet name="Nota a los Estados Financieros" sheetId="64" r:id="rId16"/>
    <sheet name="Generalidades" sheetId="66" r:id="rId17"/>
    <sheet name="Notas" sheetId="69" r:id="rId18"/>
    <sheet name="Titulo anexos" sheetId="68" r:id="rId19"/>
    <sheet name="TITaNEXO" sheetId="39" r:id="rId20"/>
    <sheet name="anexo #1" sheetId="15" r:id="rId21"/>
    <sheet name="TITaNEXO (2)" sheetId="40" r:id="rId22"/>
    <sheet name="anexo #2" sheetId="16" r:id="rId23"/>
    <sheet name="TITaNEXO (3)" sheetId="41" r:id="rId24"/>
    <sheet name="anexo #3" sheetId="17" r:id="rId25"/>
    <sheet name="TITaNEXO (4)" sheetId="42" r:id="rId26"/>
    <sheet name="comp.presup." sheetId="84" r:id="rId27"/>
    <sheet name="TITaNEXO (5)" sheetId="83" r:id="rId28"/>
    <sheet name="cédula anexo #5" sheetId="19" r:id="rId29"/>
    <sheet name="TITaNEXO (6) C" sheetId="107" r:id="rId30"/>
    <sheet name="cédula anexo 6" sheetId="106" r:id="rId31"/>
    <sheet name="TITaNEXO (7) C" sheetId="43" r:id="rId32"/>
    <sheet name="Inversiones Anexo #7" sheetId="30" r:id="rId33"/>
    <sheet name="TITaNEXO VE" sheetId="45" r:id="rId34"/>
    <sheet name="TITaNEXO (8) C" sheetId="44" r:id="rId35"/>
    <sheet name="FR" sheetId="71" r:id="rId36"/>
    <sheet name="SIT_PRES_FR" sheetId="29" r:id="rId37"/>
    <sheet name="ES_FR" sheetId="73" r:id="rId38"/>
    <sheet name="TITaNEXO (9) C" sheetId="46" r:id="rId39"/>
    <sheet name="EA" sheetId="74" r:id="rId40"/>
    <sheet name="SIT_PRES_EA" sheetId="76" r:id="rId41"/>
    <sheet name="ESTADO_UNIDAD_EA" sheetId="89" r:id="rId42"/>
    <sheet name="TITaNEXO (10)" sheetId="48" r:id="rId43"/>
    <sheet name="TIT_CE" sheetId="81" r:id="rId44"/>
    <sheet name="SIT_PRES_CE" sheetId="79" r:id="rId45"/>
    <sheet name="ESTADO_UNIDAD_CE" sheetId="80" r:id="rId46"/>
    <sheet name="tit anexo 11" sheetId="87" r:id="rId47"/>
    <sheet name="tit ppfc" sheetId="88" r:id="rId48"/>
    <sheet name="sit presup PFC" sheetId="85" r:id="rId49"/>
    <sheet name="posg financ compl" sheetId="86" r:id="rId50"/>
    <sheet name="ANEX12" sheetId="77" r:id="rId51"/>
    <sheet name="TITaNEXO (12) C" sheetId="49" r:id="rId52"/>
    <sheet name="TIT-baNEXO (12)" sheetId="50" r:id="rId53"/>
    <sheet name="TIT-CaNEXO (12)" sheetId="51" r:id="rId54"/>
    <sheet name="Situac-pres-ingre" sheetId="52" r:id="rId55"/>
    <sheet name="ANEXO 13 C" sheetId="61" r:id="rId56"/>
    <sheet name="TITaNEXO " sheetId="53" r:id="rId57"/>
    <sheet name="TITaNEXO (13)" sheetId="57" r:id="rId58"/>
    <sheet name="EGRESOS X SECCION" sheetId="55" r:id="rId59"/>
    <sheet name="REP180" sheetId="58" r:id="rId60"/>
    <sheet name="Tit_ege_obje_gasto" sheetId="60" r:id="rId61"/>
    <sheet name="F50RE115" sheetId="59" r:id="rId62"/>
    <sheet name="ANEXO 14" sheetId="91" r:id="rId63"/>
    <sheet name="TIT -Estado proyectos inversion" sheetId="92" r:id="rId64"/>
    <sheet name="TIT-PROY PROCESO DISEÑO" sheetId="94" r:id="rId65"/>
    <sheet name="PROYECTOS PROCESO DISEÑO" sheetId="95" r:id="rId66"/>
    <sheet name="TIT-PROY PROCESO LICITACION" sheetId="96" r:id="rId67"/>
    <sheet name="CONTRAT Y TRAM" sheetId="97" r:id="rId68"/>
    <sheet name="TIT-PROY PROCESO CONSTRUCCION" sheetId="98" r:id="rId69"/>
    <sheet name="PROYECTOS PROCESO CONSTRUCCION" sheetId="99" r:id="rId70"/>
    <sheet name="TIT-PROY TERMINADOS PEND LIQUID" sheetId="100" r:id="rId71"/>
    <sheet name="PROYECTOS TERMINADOS PEND LIQUI" sheetId="101" r:id="rId72"/>
    <sheet name="TIT-PROY TERMINADOS PER ANT" sheetId="102" r:id="rId73"/>
    <sheet name="PROYECTOS TERMINADOS PER ANT" sheetId="103" r:id="rId74"/>
  </sheets>
  <definedNames>
    <definedName name="_F50RE180" localSheetId="14">'Egr x Seccion'!#REF!</definedName>
    <definedName name="_F50RE180" localSheetId="59">'REP180'!$A$1:$P$829</definedName>
    <definedName name="_F50RE180_1" localSheetId="14">'Egr x Seccion'!#REF!</definedName>
    <definedName name="_F50RE180_1" localSheetId="59">'REP180'!$A$1:$P$840</definedName>
    <definedName name="_xlnm._FilterDatabase" localSheetId="61" hidden="1">F50RE115!$C$2:$C$268</definedName>
    <definedName name="A" localSheetId="3">#REF!</definedName>
    <definedName name="A" localSheetId="8">#REF!</definedName>
    <definedName name="A">#REF!</definedName>
    <definedName name="_xlnm.Print_Area" localSheetId="22">'anexo #2'!$A$1:$J$148</definedName>
    <definedName name="_xlnm.Print_Area" localSheetId="24">'anexo #3'!$A$1:$J$83</definedName>
    <definedName name="_xlnm.Print_Area" localSheetId="28">'cédula anexo #5'!$A$1:$G$46</definedName>
    <definedName name="_xlnm.Print_Area" localSheetId="26">comp.presup.!$A$1:$K$12</definedName>
    <definedName name="_xlnm.Print_Area" localSheetId="37">ES_FR!$A$1:$L$223</definedName>
    <definedName name="_xlnm.Print_Area" localSheetId="6">Est_Flujo_efec!$A$1:$G$59</definedName>
    <definedName name="_xlnm.Print_Area" localSheetId="9">'Estado Ing y Egresos'!$A$1:$D$158</definedName>
    <definedName name="_xlnm.Print_Area" localSheetId="5">'Estado Ingreso y Egreso'!$A$1:$F$51</definedName>
    <definedName name="_xlnm.Print_Area" localSheetId="45">ESTADO_UNIDAD_CE!$A$1:$L$74</definedName>
    <definedName name="_xlnm.Print_Area" localSheetId="41">ESTADO_UNIDAD_EA!$A$1:$L$153</definedName>
    <definedName name="_xlnm.Print_Area" localSheetId="61">F50RE115!$A$1:$H$350</definedName>
    <definedName name="_xlnm.Print_Area" localSheetId="16">Generalidades!$A$1:$AW$51</definedName>
    <definedName name="_xlnm.Print_Area" localSheetId="0">Portada!$A$1:$H$59</definedName>
    <definedName name="_xlnm.Print_Area" localSheetId="49">'posg financ compl'!$A$1:$L$81</definedName>
    <definedName name="_xlnm.Print_Area" localSheetId="73">'PROYECTOS TERMINADOS PER ANT'!$A$1:$K$121</definedName>
    <definedName name="_xlnm.Print_Area" localSheetId="59">'REP180'!$A$1:$I$1096</definedName>
    <definedName name="_xlnm.Print_Area" localSheetId="40">SIT_PRES_EA!$A$1:$E$46</definedName>
    <definedName name="_xlnm.Print_Area" localSheetId="10">Situac.Presup.!$A$1:$F$29</definedName>
    <definedName name="_xlnm.Print_Area" localSheetId="54">'Situac-pres-ingre'!$A$1:$G$174</definedName>
    <definedName name="HG" localSheetId="62">#REF!</definedName>
    <definedName name="HG" localSheetId="67">#REF!</definedName>
    <definedName name="HG" localSheetId="3">#REF!</definedName>
    <definedName name="HG" localSheetId="8">#REF!</definedName>
    <definedName name="HG" localSheetId="69">#REF!</definedName>
    <definedName name="HG" localSheetId="65">#REF!</definedName>
    <definedName name="HG" localSheetId="71">#REF!</definedName>
    <definedName name="HG" localSheetId="63">#REF!</definedName>
    <definedName name="HG" localSheetId="68">#REF!</definedName>
    <definedName name="HG" localSheetId="64">#REF!</definedName>
    <definedName name="HG" localSheetId="66">#REF!</definedName>
    <definedName name="HG" localSheetId="70">#REF!</definedName>
    <definedName name="HG">#REF!</definedName>
    <definedName name="HH" localSheetId="62" hidden="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67" hidden="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69" hidden="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65" hidden="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71" hidden="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63" hidden="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68" hidden="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64" hidden="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66" hidden="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70" hidden="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hidden="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mmmm" localSheetId="41">#REF!</definedName>
    <definedName name="mmmm" localSheetId="3">Portada!#REF!</definedName>
    <definedName name="mmmm" localSheetId="8">Portada!#REF!</definedName>
    <definedName name="mmmm">Portada!#REF!</definedName>
    <definedName name="OLE_LINK107" localSheetId="17">Notas!$DW$1</definedName>
    <definedName name="OLE_LINK108" localSheetId="17">Notas!$DW$9</definedName>
    <definedName name="OLE_LINK123" localSheetId="17">Notas!$A$1</definedName>
    <definedName name="OLE_LINK130" localSheetId="16">Generalidades!$H$1</definedName>
    <definedName name="OLE_LINK132" localSheetId="17">Notas!$AV$1</definedName>
    <definedName name="OLE_LINK143" localSheetId="17">Notas!$BD$1</definedName>
    <definedName name="OLE_LINK149" localSheetId="17">Notas!$BD$25</definedName>
    <definedName name="OLE_LINK151" localSheetId="1">Indice!$A$2</definedName>
    <definedName name="OLE_LINK154" localSheetId="1">Indice!$A$1</definedName>
    <definedName name="OLE_LINK166" localSheetId="17">Notas!$CJ$1</definedName>
    <definedName name="OLE_LINK22" localSheetId="17">Notas!$A$1</definedName>
    <definedName name="OLE_LINK26" localSheetId="17">Notas!$P$1</definedName>
    <definedName name="OLE_LINK27" localSheetId="17">Notas!$AF$5</definedName>
    <definedName name="OLE_LINK274" localSheetId="16">Generalidades!$AC$1</definedName>
    <definedName name="OLE_LINK32" localSheetId="16">Generalidades!$A$1</definedName>
    <definedName name="OLE_LINK34" localSheetId="17">Notas!$BK$26</definedName>
    <definedName name="OLE_LINK35" localSheetId="17">Notas!$AV$1</definedName>
    <definedName name="OLE_LINK365" localSheetId="17">Notas!$X$1</definedName>
    <definedName name="OLE_LINK401" localSheetId="17">Notas!$X$1</definedName>
    <definedName name="OLE_LINK43" localSheetId="16">Generalidades!$A$1</definedName>
    <definedName name="OLE_LINK5" localSheetId="0">Portada!$H$12</definedName>
    <definedName name="OLE_LINK56" localSheetId="16">Generalidades!$H$1</definedName>
    <definedName name="OLE_LINK57" localSheetId="16">Generalidades!$H$28</definedName>
    <definedName name="OLE_LINK71" localSheetId="1">Indice!$A$1</definedName>
    <definedName name="OLE_LINK78" localSheetId="1">Indice!$A$1</definedName>
    <definedName name="OLE_LINK80" localSheetId="16">Generalidades!$I$2</definedName>
    <definedName name="OLE_LINK82" localSheetId="16">Generalidades!$AC$2</definedName>
    <definedName name="OLE_LINK9" localSheetId="0">Portada!$H$16</definedName>
    <definedName name="OLE_LINK97" localSheetId="17">Notas!$X$1</definedName>
    <definedName name="redondear" localSheetId="20">'anexo #1'!#REF!</definedName>
    <definedName name="redondear" localSheetId="62">#REF!</definedName>
    <definedName name="redondear" localSheetId="67">#REF!</definedName>
    <definedName name="redondear" localSheetId="41">#REF!</definedName>
    <definedName name="redondear" localSheetId="3">#REF!</definedName>
    <definedName name="redondear" localSheetId="8">#REF!</definedName>
    <definedName name="redondear" localSheetId="69">#REF!</definedName>
    <definedName name="redondear" localSheetId="65">#REF!</definedName>
    <definedName name="redondear" localSheetId="71">#REF!</definedName>
    <definedName name="redondear" localSheetId="63">#REF!</definedName>
    <definedName name="redondear" localSheetId="68">#REF!</definedName>
    <definedName name="redondear" localSheetId="64">#REF!</definedName>
    <definedName name="redondear" localSheetId="66">#REF!</definedName>
    <definedName name="redondear" localSheetId="70">#REF!</definedName>
    <definedName name="redondear">#REF!</definedName>
    <definedName name="_xlnm.Print_Titles" localSheetId="14">'Egr x Seccion'!$1:$2</definedName>
    <definedName name="_xlnm.Print_Titles" localSheetId="37">ES_FR!$1:$2</definedName>
    <definedName name="_xlnm.Print_Titles" localSheetId="9">'Estado Ing y Egresos'!$1:$5</definedName>
    <definedName name="_xlnm.Print_Titles" localSheetId="45">ESTADO_UNIDAD_CE!$1:$2</definedName>
    <definedName name="_xlnm.Print_Titles" localSheetId="41">ESTADO_UNIDAD_EA!$1:$3</definedName>
    <definedName name="_xlnm.Print_Titles" localSheetId="61">F50RE115!$1:$2</definedName>
    <definedName name="_xlnm.Print_Titles" localSheetId="13">'Ingr por Seccion'!$1:$1</definedName>
    <definedName name="_xlnm.Print_Titles" localSheetId="49">'posg financ compl'!$1:$2</definedName>
    <definedName name="_xlnm.Print_Titles" localSheetId="65">'PROYECTOS PROCESO DISEÑO'!$1:$9</definedName>
    <definedName name="_xlnm.Print_Titles" localSheetId="59">'REP180'!$1:$3</definedName>
    <definedName name="_xlnm.Print_Titles" localSheetId="54">'Situac-pres-ingre'!$1:$3</definedName>
    <definedName name="wrn.Estado._.Financiera." localSheetId="62" hidden="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67" hidden="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37" hidden="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41" hidden="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69" hidden="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65" hidden="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71" hidden="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63" hidden="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56" hidden="1">{#N/A,#N/A,TRUE,"Estado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42" hidden="1">{#N/A,#N/A,TRUE,"Estado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51" hidden="1">{#N/A,#N/A,TRUE,"Estado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57" hidden="1">{#N/A,#N/A,TRUE,"Estado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21" hidden="1">{#N/A,#N/A,TRUE,"Estado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23" hidden="1">{#N/A,#N/A,TRUE,"Estado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25" hidden="1">{#N/A,#N/A,TRUE,"Estado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31" hidden="1">{#N/A,#N/A,TRUE,"Estado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34" hidden="1">{#N/A,#N/A,TRUE,"Estado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38" hidden="1">{#N/A,#N/A,TRUE,"Estado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33" hidden="1">{#N/A,#N/A,TRUE,"Estado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52" hidden="1">{#N/A,#N/A,TRUE,"Estado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53" hidden="1">{#N/A,#N/A,TRUE,"Estado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68" hidden="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64" hidden="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66" hidden="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70" hidden="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hidden="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s>
  <calcPr calcId="152511" iterateDelta="1E-4" concurrentCalc="0"/>
</workbook>
</file>

<file path=xl/calcChain.xml><?xml version="1.0" encoding="utf-8"?>
<calcChain xmlns="http://schemas.openxmlformats.org/spreadsheetml/2006/main">
  <c r="D23" i="3" l="1"/>
  <c r="C33" i="76"/>
  <c r="C25" i="76"/>
  <c r="C36" i="76"/>
  <c r="C40" i="76"/>
  <c r="E31" i="76"/>
  <c r="E23" i="76"/>
  <c r="C13" i="76"/>
  <c r="D39" i="30"/>
  <c r="C37" i="30"/>
  <c r="E37" i="30"/>
  <c r="D20" i="30"/>
  <c r="C8" i="30"/>
  <c r="C10" i="30"/>
  <c r="C12" i="30"/>
  <c r="C14" i="30"/>
  <c r="C16" i="30"/>
  <c r="C18" i="30"/>
  <c r="C20" i="30"/>
  <c r="E51" i="6"/>
  <c r="E50" i="6"/>
  <c r="D38" i="25"/>
  <c r="E29" i="25"/>
  <c r="E30" i="25"/>
  <c r="E31" i="25"/>
  <c r="E32" i="25"/>
  <c r="E33" i="25"/>
  <c r="E34" i="25"/>
  <c r="E35" i="25"/>
  <c r="E36" i="25"/>
  <c r="E38" i="25"/>
  <c r="D18" i="25"/>
  <c r="E7" i="25"/>
  <c r="E8" i="25"/>
  <c r="E9" i="25"/>
  <c r="E10" i="25"/>
  <c r="E11" i="25"/>
  <c r="E12" i="25"/>
  <c r="E13" i="25"/>
  <c r="E14" i="25"/>
  <c r="E15" i="25"/>
  <c r="E16" i="25"/>
  <c r="E18" i="25"/>
  <c r="E33" i="24"/>
  <c r="E40" i="24"/>
  <c r="E46" i="24"/>
  <c r="F28" i="24"/>
  <c r="F29" i="24"/>
  <c r="F33" i="24"/>
  <c r="F34" i="24"/>
  <c r="F35" i="24"/>
  <c r="F36" i="24"/>
  <c r="F40" i="24"/>
  <c r="F41" i="24"/>
  <c r="F42" i="24"/>
  <c r="F43" i="24"/>
  <c r="F44" i="24"/>
  <c r="F46" i="24"/>
  <c r="E17" i="24"/>
  <c r="F7" i="24"/>
  <c r="F8" i="24"/>
  <c r="F9" i="24"/>
  <c r="F10" i="24"/>
  <c r="F11" i="24"/>
  <c r="F12" i="24"/>
  <c r="F13" i="24"/>
  <c r="F14" i="24"/>
  <c r="F15" i="24"/>
  <c r="F17" i="24"/>
  <c r="E31" i="5"/>
  <c r="E43" i="5"/>
  <c r="E45" i="5"/>
  <c r="B31" i="5"/>
  <c r="B43" i="5"/>
  <c r="B45" i="5"/>
  <c r="C34" i="5"/>
  <c r="C35" i="5"/>
  <c r="C36" i="5"/>
  <c r="C37" i="5"/>
  <c r="C38" i="5"/>
  <c r="C39" i="5"/>
  <c r="C40" i="5"/>
  <c r="C41" i="5"/>
  <c r="C43" i="5"/>
  <c r="C14" i="5"/>
  <c r="C15" i="5"/>
  <c r="C17" i="5"/>
  <c r="C18" i="5"/>
  <c r="C19" i="5"/>
  <c r="C20" i="5"/>
  <c r="C21" i="5"/>
  <c r="C22" i="5"/>
  <c r="C24" i="5"/>
  <c r="C25" i="5"/>
  <c r="C26" i="5"/>
  <c r="C27" i="5"/>
  <c r="C28" i="5"/>
  <c r="C29" i="5"/>
  <c r="C31" i="5"/>
  <c r="B24" i="70"/>
  <c r="E14" i="6"/>
  <c r="G103" i="15"/>
  <c r="D78" i="3"/>
  <c r="G16" i="106"/>
  <c r="F16" i="106"/>
  <c r="E16" i="106"/>
  <c r="D16" i="106"/>
  <c r="C8" i="106"/>
  <c r="C9" i="106"/>
  <c r="C10" i="106"/>
  <c r="C11" i="106"/>
  <c r="C12" i="106"/>
  <c r="C13" i="106"/>
  <c r="C14" i="106"/>
  <c r="C16" i="106"/>
  <c r="J3" i="89"/>
  <c r="L3" i="89"/>
  <c r="J4" i="89"/>
  <c r="L4" i="89"/>
  <c r="J5" i="89"/>
  <c r="L5" i="89"/>
  <c r="J6" i="89"/>
  <c r="L6" i="89"/>
  <c r="J7" i="89"/>
  <c r="L7" i="89"/>
  <c r="J8" i="89"/>
  <c r="L8" i="89"/>
  <c r="J9" i="89"/>
  <c r="L9" i="89"/>
  <c r="J10" i="89"/>
  <c r="L10" i="89"/>
  <c r="J11" i="89"/>
  <c r="L11" i="89"/>
  <c r="J12" i="89"/>
  <c r="L12" i="89"/>
  <c r="J13" i="89"/>
  <c r="L13" i="89"/>
  <c r="J14" i="89"/>
  <c r="L14" i="89"/>
  <c r="J15" i="89"/>
  <c r="L15" i="89"/>
  <c r="J16" i="89"/>
  <c r="L16" i="89"/>
  <c r="J17" i="89"/>
  <c r="L17" i="89"/>
  <c r="J18" i="89"/>
  <c r="L18" i="89"/>
  <c r="J19" i="89"/>
  <c r="L19" i="89"/>
  <c r="J20" i="89"/>
  <c r="L20" i="89"/>
  <c r="J21" i="89"/>
  <c r="L21" i="89"/>
  <c r="J22" i="89"/>
  <c r="L22" i="89"/>
  <c r="J23" i="89"/>
  <c r="L23" i="89"/>
  <c r="J24" i="89"/>
  <c r="L24" i="89"/>
  <c r="J25" i="89"/>
  <c r="L25" i="89"/>
  <c r="J26" i="89"/>
  <c r="L26" i="89"/>
  <c r="J27" i="89"/>
  <c r="L27" i="89"/>
  <c r="J28" i="89"/>
  <c r="L28" i="89"/>
  <c r="J29" i="89"/>
  <c r="L29" i="89"/>
  <c r="J30" i="89"/>
  <c r="L30" i="89"/>
  <c r="J31" i="89"/>
  <c r="L31" i="89"/>
  <c r="J32" i="89"/>
  <c r="L32" i="89"/>
  <c r="J33" i="89"/>
  <c r="L33" i="89"/>
  <c r="J34" i="89"/>
  <c r="L34" i="89"/>
  <c r="J35" i="89"/>
  <c r="L35" i="89"/>
  <c r="J36" i="89"/>
  <c r="L36" i="89"/>
  <c r="J37" i="89"/>
  <c r="L37" i="89"/>
  <c r="J38" i="89"/>
  <c r="L38" i="89"/>
  <c r="J39" i="89"/>
  <c r="L39" i="89"/>
  <c r="J40" i="89"/>
  <c r="L40" i="89"/>
  <c r="J41" i="89"/>
  <c r="L41" i="89"/>
  <c r="J42" i="89"/>
  <c r="L42" i="89"/>
  <c r="J43" i="89"/>
  <c r="L43" i="89"/>
  <c r="J44" i="89"/>
  <c r="L44" i="89"/>
  <c r="J45" i="89"/>
  <c r="L45" i="89"/>
  <c r="J46" i="89"/>
  <c r="L46" i="89"/>
  <c r="J47" i="89"/>
  <c r="L47" i="89"/>
  <c r="J48" i="89"/>
  <c r="L48" i="89"/>
  <c r="J49" i="89"/>
  <c r="L49" i="89"/>
  <c r="J50" i="89"/>
  <c r="L50" i="89"/>
  <c r="J51" i="89"/>
  <c r="L51" i="89"/>
  <c r="J52" i="89"/>
  <c r="L52" i="89"/>
  <c r="J53" i="89"/>
  <c r="L53" i="89"/>
  <c r="J54" i="89"/>
  <c r="L54" i="89"/>
  <c r="J55" i="89"/>
  <c r="L55" i="89"/>
  <c r="J56" i="89"/>
  <c r="L56" i="89"/>
  <c r="J57" i="89"/>
  <c r="L57" i="89"/>
  <c r="J58" i="89"/>
  <c r="L58" i="89"/>
  <c r="J59" i="89"/>
  <c r="L59" i="89"/>
  <c r="J60" i="89"/>
  <c r="L60" i="89"/>
  <c r="J61" i="89"/>
  <c r="L61" i="89"/>
  <c r="J62" i="89"/>
  <c r="L62" i="89"/>
  <c r="J63" i="89"/>
  <c r="L63" i="89"/>
  <c r="J64" i="89"/>
  <c r="L64" i="89"/>
  <c r="J65" i="89"/>
  <c r="L65" i="89"/>
  <c r="J66" i="89"/>
  <c r="L66" i="89"/>
  <c r="J67" i="89"/>
  <c r="L67" i="89"/>
  <c r="J68" i="89"/>
  <c r="L68" i="89"/>
  <c r="J69" i="89"/>
  <c r="L69" i="89"/>
  <c r="J70" i="89"/>
  <c r="L70" i="89"/>
  <c r="J71" i="89"/>
  <c r="L71" i="89"/>
  <c r="J72" i="89"/>
  <c r="L72" i="89"/>
  <c r="J73" i="89"/>
  <c r="L73" i="89"/>
  <c r="J74" i="89"/>
  <c r="L74" i="89"/>
  <c r="J75" i="89"/>
  <c r="L75" i="89"/>
  <c r="J76" i="89"/>
  <c r="L76" i="89"/>
  <c r="J77" i="89"/>
  <c r="L77" i="89"/>
  <c r="J78" i="89"/>
  <c r="L78" i="89"/>
  <c r="J79" i="89"/>
  <c r="L79" i="89"/>
  <c r="J80" i="89"/>
  <c r="L80" i="89"/>
  <c r="J81" i="89"/>
  <c r="L81" i="89"/>
  <c r="J82" i="89"/>
  <c r="L82" i="89"/>
  <c r="J83" i="89"/>
  <c r="L83" i="89"/>
  <c r="J84" i="89"/>
  <c r="L84" i="89"/>
  <c r="J85" i="89"/>
  <c r="L85" i="89"/>
  <c r="J86" i="89"/>
  <c r="L86" i="89"/>
  <c r="J87" i="89"/>
  <c r="L87" i="89"/>
  <c r="J88" i="89"/>
  <c r="L88" i="89"/>
  <c r="J89" i="89"/>
  <c r="L89" i="89"/>
  <c r="J90" i="89"/>
  <c r="L90" i="89"/>
  <c r="J91" i="89"/>
  <c r="L91" i="89"/>
  <c r="J92" i="89"/>
  <c r="L92" i="89"/>
  <c r="J93" i="89"/>
  <c r="L93" i="89"/>
  <c r="J94" i="89"/>
  <c r="L94" i="89"/>
  <c r="J95" i="89"/>
  <c r="L95" i="89"/>
  <c r="J96" i="89"/>
  <c r="L96" i="89"/>
  <c r="J97" i="89"/>
  <c r="L97" i="89"/>
  <c r="J98" i="89"/>
  <c r="L98" i="89"/>
  <c r="J99" i="89"/>
  <c r="L99" i="89"/>
  <c r="J100" i="89"/>
  <c r="L100" i="89"/>
  <c r="J101" i="89"/>
  <c r="L101" i="89"/>
  <c r="J102" i="89"/>
  <c r="L102" i="89"/>
  <c r="J103" i="89"/>
  <c r="L103" i="89"/>
  <c r="J104" i="89"/>
  <c r="L104" i="89"/>
  <c r="J105" i="89"/>
  <c r="L105" i="89"/>
  <c r="J106" i="89"/>
  <c r="L106" i="89"/>
  <c r="J107" i="89"/>
  <c r="L107" i="89"/>
  <c r="J108" i="89"/>
  <c r="L108" i="89"/>
  <c r="J109" i="89"/>
  <c r="L109" i="89"/>
  <c r="J110" i="89"/>
  <c r="L110" i="89"/>
  <c r="J111" i="89"/>
  <c r="L111" i="89"/>
  <c r="J112" i="89"/>
  <c r="L112" i="89"/>
  <c r="J113" i="89"/>
  <c r="L113" i="89"/>
  <c r="J114" i="89"/>
  <c r="L114" i="89"/>
  <c r="J115" i="89"/>
  <c r="L115" i="89"/>
  <c r="J116" i="89"/>
  <c r="L116" i="89"/>
  <c r="J117" i="89"/>
  <c r="L117" i="89"/>
  <c r="J118" i="89"/>
  <c r="L118" i="89"/>
  <c r="J119" i="89"/>
  <c r="L119" i="89"/>
  <c r="J120" i="89"/>
  <c r="L120" i="89"/>
  <c r="J121" i="89"/>
  <c r="L121" i="89"/>
  <c r="J122" i="89"/>
  <c r="L122" i="89"/>
  <c r="J123" i="89"/>
  <c r="L123" i="89"/>
  <c r="J124" i="89"/>
  <c r="L124" i="89"/>
  <c r="J125" i="89"/>
  <c r="L125" i="89"/>
  <c r="J126" i="89"/>
  <c r="L126" i="89"/>
  <c r="J127" i="89"/>
  <c r="L127" i="89"/>
  <c r="J128" i="89"/>
  <c r="L128" i="89"/>
  <c r="J129" i="89"/>
  <c r="L129" i="89"/>
  <c r="J130" i="89"/>
  <c r="L130" i="89"/>
  <c r="J131" i="89"/>
  <c r="L131" i="89"/>
  <c r="J132" i="89"/>
  <c r="L132" i="89"/>
  <c r="L134" i="89"/>
  <c r="L146" i="89"/>
  <c r="L148" i="89"/>
  <c r="K134" i="89"/>
  <c r="K146" i="89"/>
  <c r="L150" i="89"/>
  <c r="L152" i="89"/>
  <c r="J134" i="89"/>
  <c r="J146" i="89"/>
  <c r="I134" i="89"/>
  <c r="I146" i="89"/>
  <c r="H3" i="89"/>
  <c r="H4" i="89"/>
  <c r="H5" i="89"/>
  <c r="H6" i="89"/>
  <c r="H7" i="89"/>
  <c r="H8" i="89"/>
  <c r="H9" i="89"/>
  <c r="H10" i="89"/>
  <c r="H11" i="89"/>
  <c r="H12" i="89"/>
  <c r="H13" i="89"/>
  <c r="H14" i="89"/>
  <c r="H15" i="89"/>
  <c r="H16" i="89"/>
  <c r="H17" i="89"/>
  <c r="H18" i="89"/>
  <c r="H19" i="89"/>
  <c r="H20" i="89"/>
  <c r="H21" i="89"/>
  <c r="H22" i="89"/>
  <c r="H23" i="89"/>
  <c r="H24" i="89"/>
  <c r="H25" i="89"/>
  <c r="H26" i="89"/>
  <c r="H27" i="89"/>
  <c r="H28" i="89"/>
  <c r="H29" i="89"/>
  <c r="H30" i="89"/>
  <c r="H31" i="89"/>
  <c r="H32" i="89"/>
  <c r="H33" i="89"/>
  <c r="H34" i="89"/>
  <c r="H35" i="89"/>
  <c r="H36" i="89"/>
  <c r="H37" i="89"/>
  <c r="H38" i="89"/>
  <c r="H39" i="89"/>
  <c r="H40" i="89"/>
  <c r="H41" i="89"/>
  <c r="H42" i="89"/>
  <c r="H43" i="89"/>
  <c r="H44" i="89"/>
  <c r="H45" i="89"/>
  <c r="H46" i="89"/>
  <c r="H47" i="89"/>
  <c r="H48" i="89"/>
  <c r="H49" i="89"/>
  <c r="H50" i="89"/>
  <c r="H51" i="89"/>
  <c r="H52" i="89"/>
  <c r="H53" i="89"/>
  <c r="H54" i="89"/>
  <c r="H55" i="89"/>
  <c r="H56" i="89"/>
  <c r="H57" i="89"/>
  <c r="H58" i="89"/>
  <c r="H59" i="89"/>
  <c r="H60" i="89"/>
  <c r="H61" i="89"/>
  <c r="H62" i="89"/>
  <c r="H63" i="89"/>
  <c r="H64" i="89"/>
  <c r="H65" i="89"/>
  <c r="H66" i="89"/>
  <c r="H67" i="89"/>
  <c r="H68" i="89"/>
  <c r="H69" i="89"/>
  <c r="H70" i="89"/>
  <c r="H71" i="89"/>
  <c r="H72" i="89"/>
  <c r="H73" i="89"/>
  <c r="H74" i="89"/>
  <c r="H76" i="89"/>
  <c r="H77" i="89"/>
  <c r="H78" i="89"/>
  <c r="H79" i="89"/>
  <c r="H80" i="89"/>
  <c r="H81" i="89"/>
  <c r="H82" i="89"/>
  <c r="H83" i="89"/>
  <c r="H84" i="89"/>
  <c r="H85" i="89"/>
  <c r="H86" i="89"/>
  <c r="H87" i="89"/>
  <c r="H89" i="89"/>
  <c r="H90" i="89"/>
  <c r="H91" i="89"/>
  <c r="H92" i="89"/>
  <c r="H93" i="89"/>
  <c r="H94" i="89"/>
  <c r="H95" i="89"/>
  <c r="H96" i="89"/>
  <c r="H97" i="89"/>
  <c r="H98" i="89"/>
  <c r="H99" i="89"/>
  <c r="H100" i="89"/>
  <c r="H101" i="89"/>
  <c r="H102" i="89"/>
  <c r="H103" i="89"/>
  <c r="H104" i="89"/>
  <c r="H105" i="89"/>
  <c r="H106" i="89"/>
  <c r="H107" i="89"/>
  <c r="H108" i="89"/>
  <c r="H109" i="89"/>
  <c r="H110" i="89"/>
  <c r="H111" i="89"/>
  <c r="H112" i="89"/>
  <c r="H113" i="89"/>
  <c r="H114" i="89"/>
  <c r="H115" i="89"/>
  <c r="H116" i="89"/>
  <c r="H117" i="89"/>
  <c r="H118" i="89"/>
  <c r="H119" i="89"/>
  <c r="H120" i="89"/>
  <c r="H121" i="89"/>
  <c r="H122" i="89"/>
  <c r="H123" i="89"/>
  <c r="H124" i="89"/>
  <c r="H125" i="89"/>
  <c r="H126" i="89"/>
  <c r="H127" i="89"/>
  <c r="H128" i="89"/>
  <c r="H129" i="89"/>
  <c r="H130" i="89"/>
  <c r="H131" i="89"/>
  <c r="H132" i="89"/>
  <c r="H134" i="89"/>
  <c r="H146" i="89"/>
  <c r="G134" i="89"/>
  <c r="G146" i="89"/>
  <c r="C134" i="89"/>
  <c r="C143" i="89"/>
  <c r="C146" i="89"/>
  <c r="D134" i="89"/>
  <c r="D146" i="89"/>
  <c r="E146" i="89"/>
  <c r="E141" i="89"/>
  <c r="E140" i="89"/>
  <c r="E139" i="89"/>
  <c r="E138" i="89"/>
  <c r="E137" i="89"/>
  <c r="E3" i="89"/>
  <c r="E4" i="89"/>
  <c r="E5" i="89"/>
  <c r="E6" i="89"/>
  <c r="E7" i="89"/>
  <c r="E8" i="89"/>
  <c r="E9" i="89"/>
  <c r="E10" i="89"/>
  <c r="E11" i="89"/>
  <c r="E12" i="89"/>
  <c r="E13" i="89"/>
  <c r="E14" i="89"/>
  <c r="E15" i="89"/>
  <c r="E16" i="89"/>
  <c r="E17" i="89"/>
  <c r="E18" i="89"/>
  <c r="E19" i="89"/>
  <c r="E20" i="89"/>
  <c r="E21" i="89"/>
  <c r="E22" i="89"/>
  <c r="E23" i="89"/>
  <c r="E24" i="89"/>
  <c r="E25" i="89"/>
  <c r="E26" i="89"/>
  <c r="E27" i="89"/>
  <c r="E28" i="89"/>
  <c r="E29" i="89"/>
  <c r="E30" i="89"/>
  <c r="E31" i="89"/>
  <c r="E32" i="89"/>
  <c r="E33" i="89"/>
  <c r="E34" i="89"/>
  <c r="E35" i="89"/>
  <c r="E36" i="89"/>
  <c r="E37" i="89"/>
  <c r="E38" i="89"/>
  <c r="E39" i="89"/>
  <c r="E40" i="89"/>
  <c r="E41" i="89"/>
  <c r="E42" i="89"/>
  <c r="E43" i="89"/>
  <c r="E44" i="89"/>
  <c r="E45" i="89"/>
  <c r="E46" i="89"/>
  <c r="E47" i="89"/>
  <c r="E48" i="89"/>
  <c r="E49" i="89"/>
  <c r="E50" i="89"/>
  <c r="E51" i="89"/>
  <c r="E52" i="89"/>
  <c r="E53" i="89"/>
  <c r="E54" i="89"/>
  <c r="E55" i="89"/>
  <c r="E56" i="89"/>
  <c r="E57" i="89"/>
  <c r="E58" i="89"/>
  <c r="E59" i="89"/>
  <c r="E60" i="89"/>
  <c r="E61" i="89"/>
  <c r="E62" i="89"/>
  <c r="E63" i="89"/>
  <c r="E64" i="89"/>
  <c r="E65" i="89"/>
  <c r="E66" i="89"/>
  <c r="E67" i="89"/>
  <c r="E68" i="89"/>
  <c r="E69" i="89"/>
  <c r="E70" i="89"/>
  <c r="E71" i="89"/>
  <c r="E72" i="89"/>
  <c r="E73" i="89"/>
  <c r="E74" i="89"/>
  <c r="E75" i="89"/>
  <c r="E76" i="89"/>
  <c r="E77" i="89"/>
  <c r="E78" i="89"/>
  <c r="E79" i="89"/>
  <c r="E80" i="89"/>
  <c r="E81" i="89"/>
  <c r="E82" i="89"/>
  <c r="E83" i="89"/>
  <c r="E84" i="89"/>
  <c r="E85" i="89"/>
  <c r="E86" i="89"/>
  <c r="E87" i="89"/>
  <c r="E88" i="89"/>
  <c r="E89" i="89"/>
  <c r="E90" i="89"/>
  <c r="E91" i="89"/>
  <c r="E92" i="89"/>
  <c r="E93" i="89"/>
  <c r="E94" i="89"/>
  <c r="E95" i="89"/>
  <c r="E96" i="89"/>
  <c r="E97" i="89"/>
  <c r="E98" i="89"/>
  <c r="E99" i="89"/>
  <c r="E100" i="89"/>
  <c r="E101" i="89"/>
  <c r="E102" i="89"/>
  <c r="E103" i="89"/>
  <c r="E104" i="89"/>
  <c r="E105" i="89"/>
  <c r="E106" i="89"/>
  <c r="E107" i="89"/>
  <c r="E108" i="89"/>
  <c r="E109" i="89"/>
  <c r="E110" i="89"/>
  <c r="E111" i="89"/>
  <c r="E112" i="89"/>
  <c r="E113" i="89"/>
  <c r="E114" i="89"/>
  <c r="E115" i="89"/>
  <c r="E116" i="89"/>
  <c r="E117" i="89"/>
  <c r="E118" i="89"/>
  <c r="E119" i="89"/>
  <c r="E120" i="89"/>
  <c r="E121" i="89"/>
  <c r="E122" i="89"/>
  <c r="E123" i="89"/>
  <c r="E124" i="89"/>
  <c r="E125" i="89"/>
  <c r="E126" i="89"/>
  <c r="E127" i="89"/>
  <c r="E128" i="89"/>
  <c r="E129" i="89"/>
  <c r="E130" i="89"/>
  <c r="E131" i="89"/>
  <c r="E132" i="89"/>
  <c r="E134" i="89"/>
  <c r="G40" i="19"/>
  <c r="F40" i="19"/>
  <c r="E40" i="19"/>
  <c r="D40"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J4" i="86"/>
  <c r="L4" i="86"/>
  <c r="J5" i="86"/>
  <c r="L5" i="86"/>
  <c r="J6" i="86"/>
  <c r="L6" i="86"/>
  <c r="J7" i="86"/>
  <c r="L7" i="86"/>
  <c r="J8" i="86"/>
  <c r="L8" i="86"/>
  <c r="J9" i="86"/>
  <c r="L9" i="86"/>
  <c r="J10" i="86"/>
  <c r="L10" i="86"/>
  <c r="J11" i="86"/>
  <c r="L11" i="86"/>
  <c r="J12" i="86"/>
  <c r="L12" i="86"/>
  <c r="J13" i="86"/>
  <c r="L13" i="86"/>
  <c r="J14" i="86"/>
  <c r="L14" i="86"/>
  <c r="J15" i="86"/>
  <c r="L15" i="86"/>
  <c r="J16" i="86"/>
  <c r="L16" i="86"/>
  <c r="J17" i="86"/>
  <c r="L17" i="86"/>
  <c r="J18" i="86"/>
  <c r="L18" i="86"/>
  <c r="J19" i="86"/>
  <c r="L19" i="86"/>
  <c r="J20" i="86"/>
  <c r="L20" i="86"/>
  <c r="J21" i="86"/>
  <c r="L21" i="86"/>
  <c r="J22" i="86"/>
  <c r="L22" i="86"/>
  <c r="J23" i="86"/>
  <c r="L23" i="86"/>
  <c r="J24" i="86"/>
  <c r="L24" i="86"/>
  <c r="J25" i="86"/>
  <c r="L25" i="86"/>
  <c r="J26" i="86"/>
  <c r="L26" i="86"/>
  <c r="J27" i="86"/>
  <c r="L27" i="86"/>
  <c r="J28" i="86"/>
  <c r="L28" i="86"/>
  <c r="J29" i="86"/>
  <c r="L29" i="86"/>
  <c r="J30" i="86"/>
  <c r="L30" i="86"/>
  <c r="J31" i="86"/>
  <c r="L31" i="86"/>
  <c r="J32" i="86"/>
  <c r="L32" i="86"/>
  <c r="J33" i="86"/>
  <c r="L33" i="86"/>
  <c r="J34" i="86"/>
  <c r="L34" i="86"/>
  <c r="J35" i="86"/>
  <c r="L35" i="86"/>
  <c r="J36" i="86"/>
  <c r="L36" i="86"/>
  <c r="J37" i="86"/>
  <c r="L37" i="86"/>
  <c r="J38" i="86"/>
  <c r="L38" i="86"/>
  <c r="J39" i="86"/>
  <c r="L39" i="86"/>
  <c r="J40" i="86"/>
  <c r="L40" i="86"/>
  <c r="J41" i="86"/>
  <c r="L41" i="86"/>
  <c r="J42" i="86"/>
  <c r="L42" i="86"/>
  <c r="J43" i="86"/>
  <c r="L43" i="86"/>
  <c r="J44" i="86"/>
  <c r="L44" i="86"/>
  <c r="J45" i="86"/>
  <c r="L45" i="86"/>
  <c r="J46" i="86"/>
  <c r="L46" i="86"/>
  <c r="J47" i="86"/>
  <c r="L47" i="86"/>
  <c r="J48" i="86"/>
  <c r="L48" i="86"/>
  <c r="J49" i="86"/>
  <c r="L49" i="86"/>
  <c r="J50" i="86"/>
  <c r="L50" i="86"/>
  <c r="J51" i="86"/>
  <c r="L51" i="86"/>
  <c r="J52" i="86"/>
  <c r="L52" i="86"/>
  <c r="J53" i="86"/>
  <c r="L53" i="86"/>
  <c r="J54" i="86"/>
  <c r="L54" i="86"/>
  <c r="J55" i="86"/>
  <c r="L55" i="86"/>
  <c r="J56" i="86"/>
  <c r="L56" i="86"/>
  <c r="J57" i="86"/>
  <c r="L57" i="86"/>
  <c r="J58" i="86"/>
  <c r="L58" i="86"/>
  <c r="J59" i="86"/>
  <c r="L59" i="86"/>
  <c r="J60" i="86"/>
  <c r="L60" i="86"/>
  <c r="J61" i="86"/>
  <c r="L61" i="86"/>
  <c r="J62" i="86"/>
  <c r="L62" i="86"/>
  <c r="J63" i="86"/>
  <c r="L63" i="86"/>
  <c r="J64" i="86"/>
  <c r="L64" i="86"/>
  <c r="J65" i="86"/>
  <c r="L65" i="86"/>
  <c r="L67" i="86"/>
  <c r="L74" i="86"/>
  <c r="L76" i="86"/>
  <c r="K67" i="86"/>
  <c r="K74" i="86"/>
  <c r="L78" i="86"/>
  <c r="L80" i="86"/>
  <c r="J67" i="86"/>
  <c r="J74" i="86"/>
  <c r="I67" i="86"/>
  <c r="I74" i="86"/>
  <c r="H4" i="86"/>
  <c r="H5" i="86"/>
  <c r="H6" i="86"/>
  <c r="H7" i="86"/>
  <c r="H8" i="86"/>
  <c r="H9" i="86"/>
  <c r="H10" i="86"/>
  <c r="H11" i="86"/>
  <c r="H12" i="86"/>
  <c r="H13" i="86"/>
  <c r="H14" i="86"/>
  <c r="H15" i="86"/>
  <c r="H16" i="86"/>
  <c r="H17" i="86"/>
  <c r="H18" i="86"/>
  <c r="H19" i="86"/>
  <c r="H20" i="86"/>
  <c r="H21" i="86"/>
  <c r="H22" i="86"/>
  <c r="H23" i="86"/>
  <c r="H24" i="86"/>
  <c r="H25" i="86"/>
  <c r="H26" i="86"/>
  <c r="H27" i="86"/>
  <c r="H28" i="86"/>
  <c r="H29" i="86"/>
  <c r="H30" i="86"/>
  <c r="H31" i="86"/>
  <c r="H32" i="86"/>
  <c r="H33" i="86"/>
  <c r="H34" i="86"/>
  <c r="H35" i="86"/>
  <c r="H36" i="86"/>
  <c r="H37" i="86"/>
  <c r="H38" i="86"/>
  <c r="H39" i="86"/>
  <c r="H40" i="86"/>
  <c r="H41" i="86"/>
  <c r="H42" i="86"/>
  <c r="H43" i="86"/>
  <c r="H44" i="86"/>
  <c r="H45" i="86"/>
  <c r="H46" i="86"/>
  <c r="H47" i="86"/>
  <c r="H48" i="86"/>
  <c r="H49" i="86"/>
  <c r="H50" i="86"/>
  <c r="H51" i="86"/>
  <c r="H52" i="86"/>
  <c r="H53" i="86"/>
  <c r="H54" i="86"/>
  <c r="H55" i="86"/>
  <c r="H56" i="86"/>
  <c r="H57" i="86"/>
  <c r="H58" i="86"/>
  <c r="H59" i="86"/>
  <c r="H60" i="86"/>
  <c r="H61" i="86"/>
  <c r="H62" i="86"/>
  <c r="H63" i="86"/>
  <c r="H64" i="86"/>
  <c r="H65" i="86"/>
  <c r="H67" i="86"/>
  <c r="H74" i="86"/>
  <c r="G67" i="86"/>
  <c r="G74" i="86"/>
  <c r="C67" i="86"/>
  <c r="C71" i="86"/>
  <c r="C74" i="86"/>
  <c r="D67" i="86"/>
  <c r="D74" i="86"/>
  <c r="E74" i="86"/>
  <c r="J69" i="86"/>
  <c r="L69" i="86"/>
  <c r="E69" i="86"/>
  <c r="E4" i="86"/>
  <c r="E5" i="86"/>
  <c r="E6" i="86"/>
  <c r="E7" i="86"/>
  <c r="E8" i="86"/>
  <c r="E9" i="86"/>
  <c r="E10" i="86"/>
  <c r="E11" i="86"/>
  <c r="E12" i="86"/>
  <c r="E13" i="86"/>
  <c r="E14" i="86"/>
  <c r="E15" i="86"/>
  <c r="E16" i="86"/>
  <c r="E17" i="86"/>
  <c r="E18" i="86"/>
  <c r="E19" i="86"/>
  <c r="E20" i="86"/>
  <c r="E21" i="86"/>
  <c r="E22" i="86"/>
  <c r="E23" i="86"/>
  <c r="E24" i="86"/>
  <c r="E25" i="86"/>
  <c r="E26" i="86"/>
  <c r="E27" i="86"/>
  <c r="E28" i="86"/>
  <c r="E29" i="86"/>
  <c r="E30" i="86"/>
  <c r="E31" i="86"/>
  <c r="E32" i="86"/>
  <c r="E33" i="86"/>
  <c r="E34" i="86"/>
  <c r="E35" i="86"/>
  <c r="E36" i="86"/>
  <c r="E37" i="86"/>
  <c r="E38" i="86"/>
  <c r="E39" i="86"/>
  <c r="E40" i="86"/>
  <c r="E41" i="86"/>
  <c r="E42" i="86"/>
  <c r="E43" i="86"/>
  <c r="E44" i="86"/>
  <c r="E45" i="86"/>
  <c r="E46" i="86"/>
  <c r="E47" i="86"/>
  <c r="E48" i="86"/>
  <c r="E49" i="86"/>
  <c r="E50" i="86"/>
  <c r="E51" i="86"/>
  <c r="E52" i="86"/>
  <c r="E53" i="86"/>
  <c r="E54" i="86"/>
  <c r="E55" i="86"/>
  <c r="E56" i="86"/>
  <c r="E57" i="86"/>
  <c r="E58" i="86"/>
  <c r="E59" i="86"/>
  <c r="E60" i="86"/>
  <c r="E61" i="86"/>
  <c r="E62" i="86"/>
  <c r="E63" i="86"/>
  <c r="E64" i="86"/>
  <c r="E65" i="86"/>
  <c r="E67" i="86"/>
  <c r="C34" i="85"/>
  <c r="C26" i="85"/>
  <c r="C39" i="85"/>
  <c r="C43" i="85"/>
  <c r="E32" i="85"/>
  <c r="E24" i="85"/>
  <c r="C14" i="85"/>
  <c r="J3" i="80"/>
  <c r="L3" i="80"/>
  <c r="J4" i="80"/>
  <c r="L4" i="80"/>
  <c r="J5" i="80"/>
  <c r="L5" i="80"/>
  <c r="J6" i="80"/>
  <c r="L6" i="80"/>
  <c r="J7" i="80"/>
  <c r="L7" i="80"/>
  <c r="J8" i="80"/>
  <c r="L8" i="80"/>
  <c r="J9" i="80"/>
  <c r="L9" i="80"/>
  <c r="J10" i="80"/>
  <c r="L10" i="80"/>
  <c r="J11" i="80"/>
  <c r="L11" i="80"/>
  <c r="J12" i="80"/>
  <c r="L12" i="80"/>
  <c r="J13" i="80"/>
  <c r="L13" i="80"/>
  <c r="J14" i="80"/>
  <c r="L14" i="80"/>
  <c r="J15" i="80"/>
  <c r="L15" i="80"/>
  <c r="J16" i="80"/>
  <c r="L16" i="80"/>
  <c r="J17" i="80"/>
  <c r="L17" i="80"/>
  <c r="J18" i="80"/>
  <c r="L18" i="80"/>
  <c r="J19" i="80"/>
  <c r="L19" i="80"/>
  <c r="J20" i="80"/>
  <c r="L20" i="80"/>
  <c r="J21" i="80"/>
  <c r="L21" i="80"/>
  <c r="J22" i="80"/>
  <c r="L22" i="80"/>
  <c r="J23" i="80"/>
  <c r="L23" i="80"/>
  <c r="J24" i="80"/>
  <c r="L24" i="80"/>
  <c r="J25" i="80"/>
  <c r="L25" i="80"/>
  <c r="J26" i="80"/>
  <c r="L26" i="80"/>
  <c r="J27" i="80"/>
  <c r="L27" i="80"/>
  <c r="J28" i="80"/>
  <c r="L28" i="80"/>
  <c r="J29" i="80"/>
  <c r="L29" i="80"/>
  <c r="J30" i="80"/>
  <c r="L30" i="80"/>
  <c r="J31" i="80"/>
  <c r="L31" i="80"/>
  <c r="J32" i="80"/>
  <c r="L32" i="80"/>
  <c r="J33" i="80"/>
  <c r="L33" i="80"/>
  <c r="J34" i="80"/>
  <c r="L34" i="80"/>
  <c r="J35" i="80"/>
  <c r="L35" i="80"/>
  <c r="J36" i="80"/>
  <c r="L36" i="80"/>
  <c r="J37" i="80"/>
  <c r="L37" i="80"/>
  <c r="J38" i="80"/>
  <c r="L38" i="80"/>
  <c r="J39" i="80"/>
  <c r="L39" i="80"/>
  <c r="J40" i="80"/>
  <c r="L40" i="80"/>
  <c r="J41" i="80"/>
  <c r="L41" i="80"/>
  <c r="J42" i="80"/>
  <c r="L42" i="80"/>
  <c r="J43" i="80"/>
  <c r="L43" i="80"/>
  <c r="J44" i="80"/>
  <c r="L44" i="80"/>
  <c r="J45" i="80"/>
  <c r="L45" i="80"/>
  <c r="J46" i="80"/>
  <c r="L46" i="80"/>
  <c r="J47" i="80"/>
  <c r="L47" i="80"/>
  <c r="J48" i="80"/>
  <c r="L48" i="80"/>
  <c r="J49" i="80"/>
  <c r="L49" i="80"/>
  <c r="J50" i="80"/>
  <c r="L50" i="80"/>
  <c r="J51" i="80"/>
  <c r="L51" i="80"/>
  <c r="J52" i="80"/>
  <c r="L52" i="80"/>
  <c r="J53" i="80"/>
  <c r="L53" i="80"/>
  <c r="J54" i="80"/>
  <c r="L54" i="80"/>
  <c r="J55" i="80"/>
  <c r="L55" i="80"/>
  <c r="L59" i="80"/>
  <c r="L67" i="80"/>
  <c r="L70" i="80"/>
  <c r="K59" i="80"/>
  <c r="K67" i="80"/>
  <c r="L72" i="80"/>
  <c r="L74" i="80"/>
  <c r="J56" i="80"/>
  <c r="J59" i="80"/>
  <c r="J67" i="80"/>
  <c r="I59" i="80"/>
  <c r="I67" i="80"/>
  <c r="H3" i="80"/>
  <c r="H4" i="80"/>
  <c r="H5" i="80"/>
  <c r="H6" i="80"/>
  <c r="H7" i="80"/>
  <c r="H8" i="80"/>
  <c r="H9" i="80"/>
  <c r="H10" i="80"/>
  <c r="H11" i="80"/>
  <c r="H12" i="80"/>
  <c r="H13" i="80"/>
  <c r="H14" i="80"/>
  <c r="H15" i="80"/>
  <c r="H16" i="80"/>
  <c r="H17" i="80"/>
  <c r="H18" i="80"/>
  <c r="H19" i="80"/>
  <c r="H20" i="80"/>
  <c r="H21" i="80"/>
  <c r="H22" i="80"/>
  <c r="H23" i="80"/>
  <c r="H24" i="80"/>
  <c r="H25" i="80"/>
  <c r="H26" i="80"/>
  <c r="H27" i="80"/>
  <c r="H28" i="80"/>
  <c r="H29" i="80"/>
  <c r="H30" i="80"/>
  <c r="H31" i="80"/>
  <c r="H32" i="80"/>
  <c r="H33" i="80"/>
  <c r="H34" i="80"/>
  <c r="H35" i="80"/>
  <c r="H36" i="80"/>
  <c r="H37" i="80"/>
  <c r="H38" i="80"/>
  <c r="H39" i="80"/>
  <c r="H40" i="80"/>
  <c r="H41" i="80"/>
  <c r="H42" i="80"/>
  <c r="H43" i="80"/>
  <c r="H44" i="80"/>
  <c r="H45" i="80"/>
  <c r="H46" i="80"/>
  <c r="H47" i="80"/>
  <c r="H48" i="80"/>
  <c r="H49" i="80"/>
  <c r="H50" i="80"/>
  <c r="H51" i="80"/>
  <c r="H52" i="80"/>
  <c r="H53" i="80"/>
  <c r="H54" i="80"/>
  <c r="H55" i="80"/>
  <c r="H56" i="80"/>
  <c r="H59" i="80"/>
  <c r="H67" i="80"/>
  <c r="G59" i="80"/>
  <c r="G67" i="80"/>
  <c r="C59" i="80"/>
  <c r="C64" i="80"/>
  <c r="C67" i="80"/>
  <c r="D59" i="80"/>
  <c r="D67" i="80"/>
  <c r="E67" i="80"/>
  <c r="J62" i="80"/>
  <c r="E62" i="80"/>
  <c r="J61" i="80"/>
  <c r="E61" i="80"/>
  <c r="E3" i="80"/>
  <c r="E4" i="80"/>
  <c r="E5" i="80"/>
  <c r="E6" i="80"/>
  <c r="E7" i="80"/>
  <c r="E8" i="80"/>
  <c r="E9" i="80"/>
  <c r="E10" i="80"/>
  <c r="E11" i="80"/>
  <c r="E12" i="80"/>
  <c r="E13" i="80"/>
  <c r="E14" i="80"/>
  <c r="E15" i="80"/>
  <c r="E16" i="80"/>
  <c r="E17" i="80"/>
  <c r="E18" i="80"/>
  <c r="E19" i="80"/>
  <c r="E20" i="80"/>
  <c r="E21" i="80"/>
  <c r="E22" i="80"/>
  <c r="E23" i="80"/>
  <c r="E24" i="80"/>
  <c r="E25" i="80"/>
  <c r="E26" i="80"/>
  <c r="E27" i="80"/>
  <c r="E28" i="80"/>
  <c r="E29" i="80"/>
  <c r="E30" i="80"/>
  <c r="E31" i="80"/>
  <c r="E32" i="80"/>
  <c r="E33" i="80"/>
  <c r="E34" i="80"/>
  <c r="E35" i="80"/>
  <c r="E36" i="80"/>
  <c r="E37" i="80"/>
  <c r="E38" i="80"/>
  <c r="E39" i="80"/>
  <c r="E40" i="80"/>
  <c r="E41" i="80"/>
  <c r="E42" i="80"/>
  <c r="E43" i="80"/>
  <c r="E44" i="80"/>
  <c r="E45" i="80"/>
  <c r="E46" i="80"/>
  <c r="E47" i="80"/>
  <c r="E48" i="80"/>
  <c r="E49" i="80"/>
  <c r="E50" i="80"/>
  <c r="E51" i="80"/>
  <c r="E52" i="80"/>
  <c r="E53" i="80"/>
  <c r="E54" i="80"/>
  <c r="E55" i="80"/>
  <c r="E56" i="80"/>
  <c r="E59" i="80"/>
  <c r="C33" i="79"/>
  <c r="C25" i="79"/>
  <c r="C38" i="79"/>
  <c r="C42" i="79"/>
  <c r="E31" i="79"/>
  <c r="E23" i="79"/>
  <c r="C13" i="79"/>
  <c r="I120" i="103"/>
  <c r="F120" i="103"/>
  <c r="I103" i="103"/>
  <c r="F103" i="103"/>
  <c r="I78" i="103"/>
  <c r="F78" i="103"/>
  <c r="I51" i="103"/>
  <c r="F51" i="103"/>
  <c r="I32" i="103"/>
  <c r="F32" i="103"/>
  <c r="I21" i="103"/>
  <c r="I24" i="103"/>
  <c r="F24" i="103"/>
  <c r="I13" i="103"/>
  <c r="F13" i="103"/>
  <c r="I9" i="103"/>
  <c r="F9" i="103"/>
  <c r="L36" i="101"/>
  <c r="L37" i="101"/>
  <c r="L39" i="101"/>
  <c r="K39" i="101"/>
  <c r="J39" i="101"/>
  <c r="I39" i="101"/>
  <c r="F39" i="101"/>
  <c r="M37" i="101"/>
  <c r="M36" i="101"/>
  <c r="L8" i="101"/>
  <c r="L9" i="101"/>
  <c r="L10" i="101"/>
  <c r="L11" i="101"/>
  <c r="L12" i="101"/>
  <c r="L13" i="101"/>
  <c r="L14" i="101"/>
  <c r="L15" i="101"/>
  <c r="L16" i="101"/>
  <c r="L17" i="101"/>
  <c r="L18" i="101"/>
  <c r="L19" i="101"/>
  <c r="L20" i="101"/>
  <c r="L21" i="101"/>
  <c r="L22" i="101"/>
  <c r="L23" i="101"/>
  <c r="L24" i="101"/>
  <c r="L25" i="101"/>
  <c r="L26" i="101"/>
  <c r="L27" i="101"/>
  <c r="L28" i="101"/>
  <c r="L30" i="101"/>
  <c r="K30" i="101"/>
  <c r="J30" i="101"/>
  <c r="I30" i="101"/>
  <c r="F30" i="101"/>
  <c r="M28" i="101"/>
  <c r="M27" i="101"/>
  <c r="M26" i="101"/>
  <c r="M25" i="101"/>
  <c r="M24" i="101"/>
  <c r="M23" i="101"/>
  <c r="M22" i="101"/>
  <c r="M21" i="101"/>
  <c r="M20" i="101"/>
  <c r="M19" i="101"/>
  <c r="M18" i="101"/>
  <c r="M17" i="101"/>
  <c r="M16" i="101"/>
  <c r="M15" i="101"/>
  <c r="M14" i="101"/>
  <c r="M13" i="101"/>
  <c r="M12" i="101"/>
  <c r="M11" i="101"/>
  <c r="M10" i="101"/>
  <c r="M9" i="101"/>
  <c r="M8" i="101"/>
  <c r="L48" i="99"/>
  <c r="M48" i="99"/>
  <c r="L49" i="99"/>
  <c r="M49" i="99"/>
  <c r="L50" i="99"/>
  <c r="M50" i="99"/>
  <c r="L51" i="99"/>
  <c r="M51" i="99"/>
  <c r="L52" i="99"/>
  <c r="M52" i="99"/>
  <c r="L53" i="99"/>
  <c r="M53" i="99"/>
  <c r="M55" i="99"/>
  <c r="L55" i="99"/>
  <c r="K55" i="99"/>
  <c r="J55" i="99"/>
  <c r="I55" i="99"/>
  <c r="F55" i="99"/>
  <c r="L27" i="99"/>
  <c r="M27" i="99"/>
  <c r="L28" i="99"/>
  <c r="M28" i="99"/>
  <c r="L29" i="99"/>
  <c r="M29" i="99"/>
  <c r="L30" i="99"/>
  <c r="M30" i="99"/>
  <c r="L31" i="99"/>
  <c r="M31" i="99"/>
  <c r="L34" i="99"/>
  <c r="M34" i="99"/>
  <c r="L35" i="99"/>
  <c r="M35" i="99"/>
  <c r="L36" i="99"/>
  <c r="M36" i="99"/>
  <c r="L37" i="99"/>
  <c r="M37" i="99"/>
  <c r="L38" i="99"/>
  <c r="M38" i="99"/>
  <c r="L39" i="99"/>
  <c r="M39" i="99"/>
  <c r="M41" i="99"/>
  <c r="L41" i="99"/>
  <c r="K41" i="99"/>
  <c r="J41" i="99"/>
  <c r="I41" i="99"/>
  <c r="F41" i="99"/>
  <c r="L8" i="99"/>
  <c r="M8" i="99"/>
  <c r="J9" i="99"/>
  <c r="K9" i="99"/>
  <c r="L9" i="99"/>
  <c r="M9" i="99"/>
  <c r="L10" i="99"/>
  <c r="M10" i="99"/>
  <c r="L11" i="99"/>
  <c r="M11" i="99"/>
  <c r="L12" i="99"/>
  <c r="M12" i="99"/>
  <c r="L13" i="99"/>
  <c r="M13" i="99"/>
  <c r="L14" i="99"/>
  <c r="M14" i="99"/>
  <c r="L15" i="99"/>
  <c r="M15" i="99"/>
  <c r="L16" i="99"/>
  <c r="M16" i="99"/>
  <c r="L17" i="99"/>
  <c r="M17" i="99"/>
  <c r="L18" i="99"/>
  <c r="M18" i="99"/>
  <c r="L19" i="99"/>
  <c r="M19" i="99"/>
  <c r="L20" i="99"/>
  <c r="M20" i="99"/>
  <c r="M22" i="99"/>
  <c r="L22" i="99"/>
  <c r="K22" i="99"/>
  <c r="J22" i="99"/>
  <c r="I22" i="99"/>
  <c r="F22" i="99"/>
  <c r="J38" i="97"/>
  <c r="I38" i="97"/>
  <c r="F38" i="97"/>
  <c r="J30" i="97"/>
  <c r="I30" i="97"/>
  <c r="F30" i="97"/>
  <c r="K10" i="95"/>
  <c r="K11" i="95"/>
  <c r="K12" i="95"/>
  <c r="K13" i="95"/>
  <c r="K14" i="95"/>
  <c r="K15" i="95"/>
  <c r="K16" i="95"/>
  <c r="K17" i="95"/>
  <c r="K18" i="95"/>
  <c r="K19" i="95"/>
  <c r="K20" i="95"/>
  <c r="K21" i="95"/>
  <c r="K22" i="95"/>
  <c r="K23" i="95"/>
  <c r="K24" i="95"/>
  <c r="K25" i="95"/>
  <c r="K26" i="95"/>
  <c r="K27" i="95"/>
  <c r="K28" i="95"/>
  <c r="K29" i="95"/>
  <c r="K30" i="95"/>
  <c r="K31" i="95"/>
  <c r="K32" i="95"/>
  <c r="K33" i="95"/>
  <c r="K34" i="95"/>
  <c r="K35" i="95"/>
  <c r="K36" i="95"/>
  <c r="K37" i="95"/>
  <c r="K38" i="95"/>
  <c r="K39" i="95"/>
  <c r="K40" i="95"/>
  <c r="K41" i="95"/>
  <c r="K42" i="95"/>
  <c r="K43" i="95"/>
  <c r="K44" i="95"/>
  <c r="K45" i="95"/>
  <c r="K46" i="95"/>
  <c r="K47" i="95"/>
  <c r="K48" i="95"/>
  <c r="K51" i="95"/>
  <c r="J51" i="95"/>
  <c r="I51" i="95"/>
  <c r="H51" i="95"/>
  <c r="F51" i="95"/>
  <c r="F4" i="59"/>
  <c r="F345" i="59"/>
  <c r="C4" i="59"/>
  <c r="D4" i="59"/>
  <c r="E4" i="59"/>
  <c r="E64" i="59"/>
  <c r="E165" i="59"/>
  <c r="E232" i="59"/>
  <c r="E249" i="59"/>
  <c r="E296" i="59"/>
  <c r="E334" i="59"/>
  <c r="E341" i="59"/>
  <c r="E242" i="59"/>
  <c r="E345" i="59"/>
  <c r="H345" i="59"/>
  <c r="G345" i="59"/>
  <c r="D345" i="59"/>
  <c r="C345" i="59"/>
  <c r="E344" i="59"/>
  <c r="H344" i="59"/>
  <c r="E343" i="59"/>
  <c r="H343" i="59"/>
  <c r="E342" i="59"/>
  <c r="H342" i="59"/>
  <c r="H341" i="59"/>
  <c r="E339" i="59"/>
  <c r="H339" i="59"/>
  <c r="E338" i="59"/>
  <c r="H338" i="59"/>
  <c r="E337" i="59"/>
  <c r="H337" i="59"/>
  <c r="E336" i="59"/>
  <c r="H336" i="59"/>
  <c r="E335" i="59"/>
  <c r="H335" i="59"/>
  <c r="H334" i="59"/>
  <c r="E332" i="59"/>
  <c r="H332" i="59"/>
  <c r="E331" i="59"/>
  <c r="H331" i="59"/>
  <c r="E330" i="59"/>
  <c r="H330" i="59"/>
  <c r="E329" i="59"/>
  <c r="H329" i="59"/>
  <c r="E328" i="59"/>
  <c r="H328" i="59"/>
  <c r="E327" i="59"/>
  <c r="H327" i="59"/>
  <c r="E326" i="59"/>
  <c r="H326" i="59"/>
  <c r="E325" i="59"/>
  <c r="H325" i="59"/>
  <c r="E324" i="59"/>
  <c r="H324" i="59"/>
  <c r="E323" i="59"/>
  <c r="H323" i="59"/>
  <c r="E322" i="59"/>
  <c r="H322" i="59"/>
  <c r="E321" i="59"/>
  <c r="H321" i="59"/>
  <c r="E320" i="59"/>
  <c r="H320" i="59"/>
  <c r="E319" i="59"/>
  <c r="H319" i="59"/>
  <c r="E318" i="59"/>
  <c r="H318" i="59"/>
  <c r="E317" i="59"/>
  <c r="H317" i="59"/>
  <c r="E316" i="59"/>
  <c r="H316" i="59"/>
  <c r="E315" i="59"/>
  <c r="H315" i="59"/>
  <c r="E314" i="59"/>
  <c r="H314" i="59"/>
  <c r="E313" i="59"/>
  <c r="H313" i="59"/>
  <c r="E312" i="59"/>
  <c r="H312" i="59"/>
  <c r="E311" i="59"/>
  <c r="H311" i="59"/>
  <c r="E310" i="59"/>
  <c r="H310" i="59"/>
  <c r="E309" i="59"/>
  <c r="H309" i="59"/>
  <c r="E308" i="59"/>
  <c r="H308" i="59"/>
  <c r="E307" i="59"/>
  <c r="E306" i="59"/>
  <c r="H306" i="59"/>
  <c r="E305" i="59"/>
  <c r="H305" i="59"/>
  <c r="E304" i="59"/>
  <c r="H304" i="59"/>
  <c r="E303" i="59"/>
  <c r="H303" i="59"/>
  <c r="E302" i="59"/>
  <c r="H302" i="59"/>
  <c r="E301" i="59"/>
  <c r="H301" i="59"/>
  <c r="E300" i="59"/>
  <c r="H300" i="59"/>
  <c r="E299" i="59"/>
  <c r="H299" i="59"/>
  <c r="E298" i="59"/>
  <c r="H298" i="59"/>
  <c r="E297" i="59"/>
  <c r="H297" i="59"/>
  <c r="H296" i="59"/>
  <c r="E294" i="59"/>
  <c r="H294" i="59"/>
  <c r="E293" i="59"/>
  <c r="H293" i="59"/>
  <c r="E292" i="59"/>
  <c r="E291" i="59"/>
  <c r="E290" i="59"/>
  <c r="H290" i="59"/>
  <c r="E289" i="59"/>
  <c r="H289" i="59"/>
  <c r="E288" i="59"/>
  <c r="H288" i="59"/>
  <c r="E287" i="59"/>
  <c r="E286" i="59"/>
  <c r="E285" i="59"/>
  <c r="H285" i="59"/>
  <c r="E284" i="59"/>
  <c r="H284" i="59"/>
  <c r="E283" i="59"/>
  <c r="H283" i="59"/>
  <c r="E282" i="59"/>
  <c r="H282" i="59"/>
  <c r="E281" i="59"/>
  <c r="H281" i="59"/>
  <c r="E280" i="59"/>
  <c r="H280" i="59"/>
  <c r="E279" i="59"/>
  <c r="H279" i="59"/>
  <c r="E278" i="59"/>
  <c r="H278" i="59"/>
  <c r="E277" i="59"/>
  <c r="H277" i="59"/>
  <c r="E276" i="59"/>
  <c r="H276" i="59"/>
  <c r="E275" i="59"/>
  <c r="H275" i="59"/>
  <c r="E274" i="59"/>
  <c r="H274" i="59"/>
  <c r="E273" i="59"/>
  <c r="H273" i="59"/>
  <c r="E272" i="59"/>
  <c r="H272" i="59"/>
  <c r="E271" i="59"/>
  <c r="H271" i="59"/>
  <c r="E270" i="59"/>
  <c r="H270" i="59"/>
  <c r="E269" i="59"/>
  <c r="H269" i="59"/>
  <c r="E268" i="59"/>
  <c r="H268" i="59"/>
  <c r="E267" i="59"/>
  <c r="H267" i="59"/>
  <c r="E266" i="59"/>
  <c r="H266" i="59"/>
  <c r="E265" i="59"/>
  <c r="H265" i="59"/>
  <c r="E264" i="59"/>
  <c r="H264" i="59"/>
  <c r="E263" i="59"/>
  <c r="H263" i="59"/>
  <c r="E262" i="59"/>
  <c r="H262" i="59"/>
  <c r="E261" i="59"/>
  <c r="H261" i="59"/>
  <c r="E260" i="59"/>
  <c r="H260" i="59"/>
  <c r="E259" i="59"/>
  <c r="H259" i="59"/>
  <c r="E258" i="59"/>
  <c r="H258" i="59"/>
  <c r="E257" i="59"/>
  <c r="H257" i="59"/>
  <c r="E256" i="59"/>
  <c r="H256" i="59"/>
  <c r="E255" i="59"/>
  <c r="H255" i="59"/>
  <c r="E254" i="59"/>
  <c r="H254" i="59"/>
  <c r="E253" i="59"/>
  <c r="E252" i="59"/>
  <c r="H252" i="59"/>
  <c r="E251" i="59"/>
  <c r="H251" i="59"/>
  <c r="E250" i="59"/>
  <c r="H250" i="59"/>
  <c r="H249" i="59"/>
  <c r="E247" i="59"/>
  <c r="H247" i="59"/>
  <c r="E246" i="59"/>
  <c r="H246" i="59"/>
  <c r="E245" i="59"/>
  <c r="H245" i="59"/>
  <c r="E244" i="59"/>
  <c r="H244" i="59"/>
  <c r="E243" i="59"/>
  <c r="H243" i="59"/>
  <c r="H242" i="59"/>
  <c r="E240" i="59"/>
  <c r="H240" i="59"/>
  <c r="E239" i="59"/>
  <c r="H239" i="59"/>
  <c r="E238" i="59"/>
  <c r="H238" i="59"/>
  <c r="E237" i="59"/>
  <c r="H237" i="59"/>
  <c r="E236" i="59"/>
  <c r="H236" i="59"/>
  <c r="E235" i="59"/>
  <c r="H235" i="59"/>
  <c r="E234" i="59"/>
  <c r="H234" i="59"/>
  <c r="E233" i="59"/>
  <c r="H233" i="59"/>
  <c r="H232" i="59"/>
  <c r="E230" i="59"/>
  <c r="H230" i="59"/>
  <c r="E229" i="59"/>
  <c r="H229" i="59"/>
  <c r="E228" i="59"/>
  <c r="H228" i="59"/>
  <c r="E227" i="59"/>
  <c r="H227" i="59"/>
  <c r="E226" i="59"/>
  <c r="H226" i="59"/>
  <c r="E225" i="59"/>
  <c r="H225" i="59"/>
  <c r="E224" i="59"/>
  <c r="H224" i="59"/>
  <c r="E223" i="59"/>
  <c r="H223" i="59"/>
  <c r="E222" i="59"/>
  <c r="H222" i="59"/>
  <c r="E221" i="59"/>
  <c r="H221" i="59"/>
  <c r="E220" i="59"/>
  <c r="H220" i="59"/>
  <c r="E219" i="59"/>
  <c r="H219" i="59"/>
  <c r="E218" i="59"/>
  <c r="H218" i="59"/>
  <c r="E217" i="59"/>
  <c r="H217" i="59"/>
  <c r="E216" i="59"/>
  <c r="H216" i="59"/>
  <c r="E215" i="59"/>
  <c r="H215" i="59"/>
  <c r="E214" i="59"/>
  <c r="H214" i="59"/>
  <c r="E213" i="59"/>
  <c r="H213" i="59"/>
  <c r="E212" i="59"/>
  <c r="H212" i="59"/>
  <c r="E211" i="59"/>
  <c r="H211" i="59"/>
  <c r="E210" i="59"/>
  <c r="H210" i="59"/>
  <c r="E209" i="59"/>
  <c r="H209" i="59"/>
  <c r="E208" i="59"/>
  <c r="H208" i="59"/>
  <c r="E207" i="59"/>
  <c r="H207" i="59"/>
  <c r="E206" i="59"/>
  <c r="H206" i="59"/>
  <c r="E205" i="59"/>
  <c r="H205" i="59"/>
  <c r="E204" i="59"/>
  <c r="H204" i="59"/>
  <c r="E203" i="59"/>
  <c r="H203" i="59"/>
  <c r="E202" i="59"/>
  <c r="H202" i="59"/>
  <c r="E201" i="59"/>
  <c r="H201" i="59"/>
  <c r="E200" i="59"/>
  <c r="H200" i="59"/>
  <c r="E199" i="59"/>
  <c r="H199" i="59"/>
  <c r="E198" i="59"/>
  <c r="H198" i="59"/>
  <c r="E197" i="59"/>
  <c r="H197" i="59"/>
  <c r="E196" i="59"/>
  <c r="H196" i="59"/>
  <c r="E195" i="59"/>
  <c r="H195" i="59"/>
  <c r="E194" i="59"/>
  <c r="H194" i="59"/>
  <c r="E193" i="59"/>
  <c r="H193" i="59"/>
  <c r="E192" i="59"/>
  <c r="H192" i="59"/>
  <c r="E191" i="59"/>
  <c r="H191" i="59"/>
  <c r="E190" i="59"/>
  <c r="H190" i="59"/>
  <c r="E189" i="59"/>
  <c r="H189" i="59"/>
  <c r="E188" i="59"/>
  <c r="H188" i="59"/>
  <c r="E187" i="59"/>
  <c r="H187" i="59"/>
  <c r="E186" i="59"/>
  <c r="H186" i="59"/>
  <c r="E185" i="59"/>
  <c r="H185" i="59"/>
  <c r="E184" i="59"/>
  <c r="H184" i="59"/>
  <c r="E183" i="59"/>
  <c r="H183" i="59"/>
  <c r="E182" i="59"/>
  <c r="H182" i="59"/>
  <c r="E181" i="59"/>
  <c r="H181" i="59"/>
  <c r="E180" i="59"/>
  <c r="H180" i="59"/>
  <c r="E179" i="59"/>
  <c r="H179" i="59"/>
  <c r="E178" i="59"/>
  <c r="H178" i="59"/>
  <c r="E177" i="59"/>
  <c r="H177" i="59"/>
  <c r="E176" i="59"/>
  <c r="H176" i="59"/>
  <c r="E175" i="59"/>
  <c r="H175" i="59"/>
  <c r="E174" i="59"/>
  <c r="H174" i="59"/>
  <c r="E173" i="59"/>
  <c r="H173" i="59"/>
  <c r="E172" i="59"/>
  <c r="H172" i="59"/>
  <c r="E171" i="59"/>
  <c r="H171" i="59"/>
  <c r="E170" i="59"/>
  <c r="H170" i="59"/>
  <c r="E169" i="59"/>
  <c r="H169" i="59"/>
  <c r="E168" i="59"/>
  <c r="H168" i="59"/>
  <c r="E167" i="59"/>
  <c r="H167" i="59"/>
  <c r="E166" i="59"/>
  <c r="H166" i="59"/>
  <c r="H165" i="59"/>
  <c r="E163" i="59"/>
  <c r="H163" i="59"/>
  <c r="E162" i="59"/>
  <c r="H162" i="59"/>
  <c r="E161" i="59"/>
  <c r="H161" i="59"/>
  <c r="E160" i="59"/>
  <c r="H160" i="59"/>
  <c r="E159" i="59"/>
  <c r="H159" i="59"/>
  <c r="E158" i="59"/>
  <c r="H158" i="59"/>
  <c r="E157" i="59"/>
  <c r="H157" i="59"/>
  <c r="E156" i="59"/>
  <c r="H156" i="59"/>
  <c r="E155" i="59"/>
  <c r="H155" i="59"/>
  <c r="E154" i="59"/>
  <c r="H154" i="59"/>
  <c r="E153" i="59"/>
  <c r="H153" i="59"/>
  <c r="E152" i="59"/>
  <c r="H152" i="59"/>
  <c r="E151" i="59"/>
  <c r="H151" i="59"/>
  <c r="E150" i="59"/>
  <c r="H150" i="59"/>
  <c r="E149" i="59"/>
  <c r="H149" i="59"/>
  <c r="E148" i="59"/>
  <c r="H148" i="59"/>
  <c r="E147" i="59"/>
  <c r="H147" i="59"/>
  <c r="E146" i="59"/>
  <c r="H146" i="59"/>
  <c r="E145" i="59"/>
  <c r="H145" i="59"/>
  <c r="E144" i="59"/>
  <c r="H144" i="59"/>
  <c r="E143" i="59"/>
  <c r="H143" i="59"/>
  <c r="E142" i="59"/>
  <c r="H142" i="59"/>
  <c r="E141" i="59"/>
  <c r="H141" i="59"/>
  <c r="E140" i="59"/>
  <c r="H140" i="59"/>
  <c r="E139" i="59"/>
  <c r="H139" i="59"/>
  <c r="E138" i="59"/>
  <c r="H138" i="59"/>
  <c r="E137" i="59"/>
  <c r="H137" i="59"/>
  <c r="E136" i="59"/>
  <c r="H136" i="59"/>
  <c r="E135" i="59"/>
  <c r="H135" i="59"/>
  <c r="E134" i="59"/>
  <c r="H134" i="59"/>
  <c r="E133" i="59"/>
  <c r="H133" i="59"/>
  <c r="E132" i="59"/>
  <c r="H132" i="59"/>
  <c r="E131" i="59"/>
  <c r="H131" i="59"/>
  <c r="E130" i="59"/>
  <c r="H130" i="59"/>
  <c r="E129" i="59"/>
  <c r="H129" i="59"/>
  <c r="E128" i="59"/>
  <c r="H128" i="59"/>
  <c r="E127" i="59"/>
  <c r="H127" i="59"/>
  <c r="E126" i="59"/>
  <c r="H126" i="59"/>
  <c r="E125" i="59"/>
  <c r="H125" i="59"/>
  <c r="E124" i="59"/>
  <c r="H124" i="59"/>
  <c r="E123" i="59"/>
  <c r="H123" i="59"/>
  <c r="E122" i="59"/>
  <c r="H122" i="59"/>
  <c r="E121" i="59"/>
  <c r="H121" i="59"/>
  <c r="E120" i="59"/>
  <c r="H120" i="59"/>
  <c r="E119" i="59"/>
  <c r="H119" i="59"/>
  <c r="E118" i="59"/>
  <c r="H118" i="59"/>
  <c r="E117" i="59"/>
  <c r="H117" i="59"/>
  <c r="E116" i="59"/>
  <c r="H116" i="59"/>
  <c r="E115" i="59"/>
  <c r="H115" i="59"/>
  <c r="E114" i="59"/>
  <c r="H114" i="59"/>
  <c r="E113" i="59"/>
  <c r="H113" i="59"/>
  <c r="E112" i="59"/>
  <c r="H112" i="59"/>
  <c r="E111" i="59"/>
  <c r="H111" i="59"/>
  <c r="E110" i="59"/>
  <c r="H110" i="59"/>
  <c r="E109" i="59"/>
  <c r="H109" i="59"/>
  <c r="E108" i="59"/>
  <c r="H108" i="59"/>
  <c r="E107" i="59"/>
  <c r="H107" i="59"/>
  <c r="E106" i="59"/>
  <c r="H106" i="59"/>
  <c r="E105" i="59"/>
  <c r="H105" i="59"/>
  <c r="E104" i="59"/>
  <c r="H104" i="59"/>
  <c r="E103" i="59"/>
  <c r="H103" i="59"/>
  <c r="E102" i="59"/>
  <c r="H102" i="59"/>
  <c r="E101" i="59"/>
  <c r="H101" i="59"/>
  <c r="E100" i="59"/>
  <c r="H100" i="59"/>
  <c r="E99" i="59"/>
  <c r="H99" i="59"/>
  <c r="E98" i="59"/>
  <c r="H98" i="59"/>
  <c r="E97" i="59"/>
  <c r="H97" i="59"/>
  <c r="E96" i="59"/>
  <c r="H96" i="59"/>
  <c r="E95" i="59"/>
  <c r="H95" i="59"/>
  <c r="E94" i="59"/>
  <c r="H94" i="59"/>
  <c r="E93" i="59"/>
  <c r="H93" i="59"/>
  <c r="E92" i="59"/>
  <c r="H92" i="59"/>
  <c r="E91" i="59"/>
  <c r="H91" i="59"/>
  <c r="E90" i="59"/>
  <c r="H90" i="59"/>
  <c r="E89" i="59"/>
  <c r="H89" i="59"/>
  <c r="E88" i="59"/>
  <c r="H88" i="59"/>
  <c r="E87" i="59"/>
  <c r="H87" i="59"/>
  <c r="E86" i="59"/>
  <c r="H86" i="59"/>
  <c r="E85" i="59"/>
  <c r="H85" i="59"/>
  <c r="E84" i="59"/>
  <c r="H84" i="59"/>
  <c r="E83" i="59"/>
  <c r="H83" i="59"/>
  <c r="E82" i="59"/>
  <c r="H82" i="59"/>
  <c r="E81" i="59"/>
  <c r="H81" i="59"/>
  <c r="E80" i="59"/>
  <c r="H80" i="59"/>
  <c r="E79" i="59"/>
  <c r="H79" i="59"/>
  <c r="E78" i="59"/>
  <c r="H78" i="59"/>
  <c r="E77" i="59"/>
  <c r="H77" i="59"/>
  <c r="E76" i="59"/>
  <c r="H76" i="59"/>
  <c r="E75" i="59"/>
  <c r="H75" i="59"/>
  <c r="E74" i="59"/>
  <c r="H74" i="59"/>
  <c r="E73" i="59"/>
  <c r="H73" i="59"/>
  <c r="E72" i="59"/>
  <c r="H72" i="59"/>
  <c r="E71" i="59"/>
  <c r="H71" i="59"/>
  <c r="E70" i="59"/>
  <c r="H70" i="59"/>
  <c r="E69" i="59"/>
  <c r="H69" i="59"/>
  <c r="E68" i="59"/>
  <c r="H68" i="59"/>
  <c r="E67" i="59"/>
  <c r="H67" i="59"/>
  <c r="E66" i="59"/>
  <c r="H66" i="59"/>
  <c r="E65" i="59"/>
  <c r="H65" i="59"/>
  <c r="H64" i="59"/>
  <c r="E62" i="59"/>
  <c r="H62" i="59"/>
  <c r="E61" i="59"/>
  <c r="H61" i="59"/>
  <c r="E60" i="59"/>
  <c r="H60" i="59"/>
  <c r="E59" i="59"/>
  <c r="H59" i="59"/>
  <c r="E58" i="59"/>
  <c r="H58" i="59"/>
  <c r="E57" i="59"/>
  <c r="H57" i="59"/>
  <c r="E56" i="59"/>
  <c r="H56" i="59"/>
  <c r="E55" i="59"/>
  <c r="H55" i="59"/>
  <c r="E54" i="59"/>
  <c r="H54" i="59"/>
  <c r="E53" i="59"/>
  <c r="H53" i="59"/>
  <c r="E52" i="59"/>
  <c r="H52" i="59"/>
  <c r="E51" i="59"/>
  <c r="H51" i="59"/>
  <c r="E50" i="59"/>
  <c r="H50" i="59"/>
  <c r="E49" i="59"/>
  <c r="H49" i="59"/>
  <c r="E48" i="59"/>
  <c r="H48" i="59"/>
  <c r="E47" i="59"/>
  <c r="H47" i="59"/>
  <c r="E46" i="59"/>
  <c r="H46" i="59"/>
  <c r="E45" i="59"/>
  <c r="H45" i="59"/>
  <c r="E44" i="59"/>
  <c r="H44" i="59"/>
  <c r="E43" i="59"/>
  <c r="H43" i="59"/>
  <c r="E42" i="59"/>
  <c r="H42" i="59"/>
  <c r="E41" i="59"/>
  <c r="H41" i="59"/>
  <c r="E40" i="59"/>
  <c r="H40" i="59"/>
  <c r="E39" i="59"/>
  <c r="H39" i="59"/>
  <c r="E38" i="59"/>
  <c r="H38" i="59"/>
  <c r="E37" i="59"/>
  <c r="H37" i="59"/>
  <c r="E36" i="59"/>
  <c r="H36" i="59"/>
  <c r="E35" i="59"/>
  <c r="H35" i="59"/>
  <c r="E34" i="59"/>
  <c r="H34" i="59"/>
  <c r="E33" i="59"/>
  <c r="H33" i="59"/>
  <c r="E32" i="59"/>
  <c r="H32" i="59"/>
  <c r="E31" i="59"/>
  <c r="H31" i="59"/>
  <c r="E30" i="59"/>
  <c r="H30" i="59"/>
  <c r="E29" i="59"/>
  <c r="H29" i="59"/>
  <c r="E28" i="59"/>
  <c r="H28" i="59"/>
  <c r="E27" i="59"/>
  <c r="H27" i="59"/>
  <c r="G27" i="59"/>
  <c r="E26" i="59"/>
  <c r="H26" i="59"/>
  <c r="E25" i="59"/>
  <c r="H25" i="59"/>
  <c r="E24" i="59"/>
  <c r="H24" i="59"/>
  <c r="E23" i="59"/>
  <c r="H23" i="59"/>
  <c r="E22" i="59"/>
  <c r="H22" i="59"/>
  <c r="E21" i="59"/>
  <c r="H21" i="59"/>
  <c r="E20" i="59"/>
  <c r="H20" i="59"/>
  <c r="E19" i="59"/>
  <c r="H19" i="59"/>
  <c r="E18" i="59"/>
  <c r="H18" i="59"/>
  <c r="E17" i="59"/>
  <c r="H17" i="59"/>
  <c r="E16" i="59"/>
  <c r="H16" i="59"/>
  <c r="E15" i="59"/>
  <c r="H15" i="59"/>
  <c r="E14" i="59"/>
  <c r="H14" i="59"/>
  <c r="E13" i="59"/>
  <c r="H13" i="59"/>
  <c r="E12" i="59"/>
  <c r="H12" i="59"/>
  <c r="E11" i="59"/>
  <c r="H11" i="59"/>
  <c r="E10" i="59"/>
  <c r="H10" i="59"/>
  <c r="E9" i="59"/>
  <c r="H9" i="59"/>
  <c r="E8" i="59"/>
  <c r="H8" i="59"/>
  <c r="E7" i="59"/>
  <c r="H7" i="59"/>
  <c r="E6" i="59"/>
  <c r="H6" i="59"/>
  <c r="E5" i="59"/>
  <c r="H5" i="59"/>
  <c r="G5" i="59"/>
  <c r="H4" i="59"/>
  <c r="I1092" i="58"/>
  <c r="H1092" i="58"/>
  <c r="G1092" i="58"/>
  <c r="F1092" i="58"/>
  <c r="E1092" i="58"/>
  <c r="E21" i="52"/>
  <c r="E20" i="52"/>
  <c r="E14" i="52"/>
  <c r="E17" i="52"/>
  <c r="E13" i="52"/>
  <c r="E11" i="52"/>
  <c r="E9" i="52"/>
  <c r="E7" i="52"/>
  <c r="E31" i="52"/>
  <c r="E35" i="52"/>
  <c r="E29" i="52"/>
  <c r="E42" i="52"/>
  <c r="E41" i="52"/>
  <c r="E47" i="52"/>
  <c r="E50" i="52"/>
  <c r="E53" i="52"/>
  <c r="E45" i="52"/>
  <c r="E39" i="52"/>
  <c r="E68" i="52"/>
  <c r="E67" i="52"/>
  <c r="E65" i="52"/>
  <c r="E27" i="52"/>
  <c r="E87" i="52"/>
  <c r="E90" i="52"/>
  <c r="E93" i="52"/>
  <c r="E86" i="52"/>
  <c r="E84" i="52"/>
  <c r="E100" i="52"/>
  <c r="E99" i="52"/>
  <c r="E97" i="52"/>
  <c r="E107" i="52"/>
  <c r="E114" i="52"/>
  <c r="E105" i="52"/>
  <c r="E25" i="52"/>
  <c r="E119" i="52"/>
  <c r="E126" i="52"/>
  <c r="E117" i="52"/>
  <c r="E5" i="52"/>
  <c r="E133" i="52"/>
  <c r="E131" i="52"/>
  <c r="E129" i="52"/>
  <c r="E140" i="52"/>
  <c r="E147" i="52"/>
  <c r="E155" i="52"/>
  <c r="E145" i="52"/>
  <c r="E138" i="52"/>
  <c r="E136" i="52"/>
  <c r="E167" i="52"/>
  <c r="F21" i="52"/>
  <c r="F20" i="52"/>
  <c r="F14" i="52"/>
  <c r="F17" i="52"/>
  <c r="F13" i="52"/>
  <c r="F11" i="52"/>
  <c r="F9" i="52"/>
  <c r="F7" i="52"/>
  <c r="F31" i="52"/>
  <c r="F35" i="52"/>
  <c r="F29" i="52"/>
  <c r="F42" i="52"/>
  <c r="F41" i="52"/>
  <c r="F47" i="52"/>
  <c r="F50" i="52"/>
  <c r="F53" i="52"/>
  <c r="F45" i="52"/>
  <c r="F39" i="52"/>
  <c r="F68" i="52"/>
  <c r="F67" i="52"/>
  <c r="F65" i="52"/>
  <c r="F27" i="52"/>
  <c r="F87" i="52"/>
  <c r="F90" i="52"/>
  <c r="F93" i="52"/>
  <c r="F86" i="52"/>
  <c r="F84" i="52"/>
  <c r="F100" i="52"/>
  <c r="F99" i="52"/>
  <c r="F97" i="52"/>
  <c r="F107" i="52"/>
  <c r="F114" i="52"/>
  <c r="F105" i="52"/>
  <c r="F25" i="52"/>
  <c r="F119" i="52"/>
  <c r="F126" i="52"/>
  <c r="F117" i="52"/>
  <c r="F5" i="52"/>
  <c r="F133" i="52"/>
  <c r="F131" i="52"/>
  <c r="F129" i="52"/>
  <c r="F140" i="52"/>
  <c r="F147" i="52"/>
  <c r="F155" i="52"/>
  <c r="F145" i="52"/>
  <c r="F138" i="52"/>
  <c r="F136" i="52"/>
  <c r="F167" i="52"/>
  <c r="G167" i="52"/>
  <c r="C21" i="52"/>
  <c r="C20" i="52"/>
  <c r="C14" i="52"/>
  <c r="C17" i="52"/>
  <c r="C13" i="52"/>
  <c r="C11" i="52"/>
  <c r="C9" i="52"/>
  <c r="C7" i="52"/>
  <c r="C31" i="52"/>
  <c r="C35" i="52"/>
  <c r="C29" i="52"/>
  <c r="C42" i="52"/>
  <c r="C41" i="52"/>
  <c r="C47" i="52"/>
  <c r="C50" i="52"/>
  <c r="C53" i="52"/>
  <c r="C45" i="52"/>
  <c r="C39" i="52"/>
  <c r="C68" i="52"/>
  <c r="C67" i="52"/>
  <c r="C65" i="52"/>
  <c r="C27" i="52"/>
  <c r="C87" i="52"/>
  <c r="C90" i="52"/>
  <c r="C93" i="52"/>
  <c r="C86" i="52"/>
  <c r="C84" i="52"/>
  <c r="C100" i="52"/>
  <c r="C99" i="52"/>
  <c r="C97" i="52"/>
  <c r="C107" i="52"/>
  <c r="C114" i="52"/>
  <c r="C105" i="52"/>
  <c r="C25" i="52"/>
  <c r="C119" i="52"/>
  <c r="C126" i="52"/>
  <c r="C117" i="52"/>
  <c r="C5" i="52"/>
  <c r="C133" i="52"/>
  <c r="C131" i="52"/>
  <c r="C129" i="52"/>
  <c r="C140" i="52"/>
  <c r="C147" i="52"/>
  <c r="C155" i="52"/>
  <c r="C145" i="52"/>
  <c r="C138" i="52"/>
  <c r="C136" i="52"/>
  <c r="C167" i="52"/>
  <c r="D167" i="52"/>
  <c r="G165" i="52"/>
  <c r="D165" i="52"/>
  <c r="G164" i="52"/>
  <c r="D164" i="52"/>
  <c r="G163" i="52"/>
  <c r="D163" i="52"/>
  <c r="G162" i="52"/>
  <c r="D162" i="52"/>
  <c r="G161" i="52"/>
  <c r="D161" i="52"/>
  <c r="G160" i="52"/>
  <c r="D160" i="52"/>
  <c r="G159" i="52"/>
  <c r="D159" i="52"/>
  <c r="G157" i="52"/>
  <c r="D157" i="52"/>
  <c r="G156" i="52"/>
  <c r="D156" i="52"/>
  <c r="G155" i="52"/>
  <c r="D155" i="52"/>
  <c r="G153" i="52"/>
  <c r="D153" i="52"/>
  <c r="G151" i="52"/>
  <c r="D151" i="52"/>
  <c r="G150" i="52"/>
  <c r="D150" i="52"/>
  <c r="G149" i="52"/>
  <c r="D149" i="52"/>
  <c r="G148" i="52"/>
  <c r="D148" i="52"/>
  <c r="G147" i="52"/>
  <c r="D147" i="52"/>
  <c r="G145" i="52"/>
  <c r="D145" i="52"/>
  <c r="G143" i="52"/>
  <c r="D143" i="52"/>
  <c r="G142" i="52"/>
  <c r="D142" i="52"/>
  <c r="G140" i="52"/>
  <c r="D140" i="52"/>
  <c r="G138" i="52"/>
  <c r="D138" i="52"/>
  <c r="G136" i="52"/>
  <c r="D136" i="52"/>
  <c r="G134" i="52"/>
  <c r="D134" i="52"/>
  <c r="G133" i="52"/>
  <c r="D133" i="52"/>
  <c r="G131" i="52"/>
  <c r="D131" i="52"/>
  <c r="G129" i="52"/>
  <c r="D129" i="52"/>
  <c r="G127" i="52"/>
  <c r="D127" i="52"/>
  <c r="G126" i="52"/>
  <c r="D126" i="52"/>
  <c r="G124" i="52"/>
  <c r="D124" i="52"/>
  <c r="G122" i="52"/>
  <c r="D122" i="52"/>
  <c r="G121" i="52"/>
  <c r="D121" i="52"/>
  <c r="G120" i="52"/>
  <c r="D120" i="52"/>
  <c r="G119" i="52"/>
  <c r="D119" i="52"/>
  <c r="G117" i="52"/>
  <c r="D117" i="52"/>
  <c r="G115" i="52"/>
  <c r="D115" i="52"/>
  <c r="G114" i="52"/>
  <c r="D114" i="52"/>
  <c r="G112" i="52"/>
  <c r="D112" i="52"/>
  <c r="G111" i="52"/>
  <c r="D111" i="52"/>
  <c r="G110" i="52"/>
  <c r="D110" i="52"/>
  <c r="G109" i="52"/>
  <c r="D109" i="52"/>
  <c r="G108" i="52"/>
  <c r="D108" i="52"/>
  <c r="G107" i="52"/>
  <c r="D107" i="52"/>
  <c r="G105" i="52"/>
  <c r="D105" i="52"/>
  <c r="G103" i="52"/>
  <c r="D103" i="52"/>
  <c r="G102" i="52"/>
  <c r="D102" i="52"/>
  <c r="G101" i="52"/>
  <c r="D101" i="52"/>
  <c r="G100" i="52"/>
  <c r="D100" i="52"/>
  <c r="G99" i="52"/>
  <c r="D99" i="52"/>
  <c r="G97" i="52"/>
  <c r="D97" i="52"/>
  <c r="G95" i="52"/>
  <c r="D95" i="52"/>
  <c r="G94" i="52"/>
  <c r="D94" i="52"/>
  <c r="G93" i="52"/>
  <c r="D93" i="52"/>
  <c r="G91" i="52"/>
  <c r="D91" i="52"/>
  <c r="G90" i="52"/>
  <c r="D90" i="52"/>
  <c r="G88" i="52"/>
  <c r="D88" i="52"/>
  <c r="G87" i="52"/>
  <c r="D87" i="52"/>
  <c r="G86" i="52"/>
  <c r="D86" i="52"/>
  <c r="G84" i="52"/>
  <c r="D84" i="52"/>
  <c r="G82" i="52"/>
  <c r="D82" i="52"/>
  <c r="G81" i="52"/>
  <c r="D81" i="52"/>
  <c r="G80" i="52"/>
  <c r="D80" i="52"/>
  <c r="G79" i="52"/>
  <c r="D79" i="52"/>
  <c r="G78" i="52"/>
  <c r="D78" i="52"/>
  <c r="G77" i="52"/>
  <c r="D77" i="52"/>
  <c r="G76" i="52"/>
  <c r="D76" i="52"/>
  <c r="G75" i="52"/>
  <c r="D75" i="52"/>
  <c r="G74" i="52"/>
  <c r="D74" i="52"/>
  <c r="G73" i="52"/>
  <c r="D73" i="52"/>
  <c r="G72" i="52"/>
  <c r="D72" i="52"/>
  <c r="G71" i="52"/>
  <c r="D71" i="52"/>
  <c r="G70" i="52"/>
  <c r="D70" i="52"/>
  <c r="G69" i="52"/>
  <c r="D69" i="52"/>
  <c r="G68" i="52"/>
  <c r="D68" i="52"/>
  <c r="G67" i="52"/>
  <c r="D67" i="52"/>
  <c r="G65" i="52"/>
  <c r="D65" i="52"/>
  <c r="G63" i="52"/>
  <c r="D63" i="52"/>
  <c r="G62" i="52"/>
  <c r="D62" i="52"/>
  <c r="G61" i="52"/>
  <c r="D61" i="52"/>
  <c r="G60" i="52"/>
  <c r="D60" i="52"/>
  <c r="G59" i="52"/>
  <c r="D59" i="52"/>
  <c r="G58" i="52"/>
  <c r="D58" i="52"/>
  <c r="G57" i="52"/>
  <c r="D57" i="52"/>
  <c r="G56" i="52"/>
  <c r="D56" i="52"/>
  <c r="G55" i="52"/>
  <c r="D55" i="52"/>
  <c r="G54" i="52"/>
  <c r="D54" i="52"/>
  <c r="G53" i="52"/>
  <c r="D53" i="52"/>
  <c r="G51" i="52"/>
  <c r="D51" i="52"/>
  <c r="G50" i="52"/>
  <c r="D50" i="52"/>
  <c r="G48" i="52"/>
  <c r="D48" i="52"/>
  <c r="G47" i="52"/>
  <c r="D47" i="52"/>
  <c r="G45" i="52"/>
  <c r="D45" i="52"/>
  <c r="G43" i="52"/>
  <c r="D43" i="52"/>
  <c r="G42" i="52"/>
  <c r="D42" i="52"/>
  <c r="G41" i="52"/>
  <c r="D41" i="52"/>
  <c r="G39" i="52"/>
  <c r="D39" i="52"/>
  <c r="G36" i="52"/>
  <c r="D36" i="52"/>
  <c r="G35" i="52"/>
  <c r="D35" i="52"/>
  <c r="G33" i="52"/>
  <c r="D33" i="52"/>
  <c r="G32" i="52"/>
  <c r="D32" i="52"/>
  <c r="G31" i="52"/>
  <c r="D31" i="52"/>
  <c r="G29" i="52"/>
  <c r="D29" i="52"/>
  <c r="G27" i="52"/>
  <c r="D27" i="52"/>
  <c r="G25" i="52"/>
  <c r="D25" i="52"/>
  <c r="G23" i="52"/>
  <c r="D23" i="52"/>
  <c r="G22" i="52"/>
  <c r="D22" i="52"/>
  <c r="G21" i="52"/>
  <c r="D21" i="52"/>
  <c r="G20" i="52"/>
  <c r="D20" i="52"/>
  <c r="G18" i="52"/>
  <c r="D18" i="52"/>
  <c r="G17" i="52"/>
  <c r="D17" i="52"/>
  <c r="G15" i="52"/>
  <c r="D15" i="52"/>
  <c r="G14" i="52"/>
  <c r="D14" i="52"/>
  <c r="G13" i="52"/>
  <c r="D13" i="52"/>
  <c r="G11" i="52"/>
  <c r="D11" i="52"/>
  <c r="G9" i="52"/>
  <c r="D9" i="52"/>
  <c r="G7" i="52"/>
  <c r="D7" i="52"/>
  <c r="G5" i="52"/>
  <c r="D5" i="52"/>
  <c r="J3" i="73"/>
  <c r="L3" i="73"/>
  <c r="J4" i="73"/>
  <c r="L4" i="73"/>
  <c r="J5" i="73"/>
  <c r="L5" i="73"/>
  <c r="J6" i="73"/>
  <c r="L6" i="73"/>
  <c r="J7" i="73"/>
  <c r="L7" i="73"/>
  <c r="J8" i="73"/>
  <c r="L8" i="73"/>
  <c r="J9" i="73"/>
  <c r="L9" i="73"/>
  <c r="J10" i="73"/>
  <c r="L10" i="73"/>
  <c r="J11" i="73"/>
  <c r="L11" i="73"/>
  <c r="J12" i="73"/>
  <c r="L12" i="73"/>
  <c r="J13" i="73"/>
  <c r="L13" i="73"/>
  <c r="J14" i="73"/>
  <c r="L14" i="73"/>
  <c r="J15" i="73"/>
  <c r="L15" i="73"/>
  <c r="J16" i="73"/>
  <c r="L16" i="73"/>
  <c r="J17" i="73"/>
  <c r="L17" i="73"/>
  <c r="J18" i="73"/>
  <c r="L18" i="73"/>
  <c r="J19" i="73"/>
  <c r="L19" i="73"/>
  <c r="J20" i="73"/>
  <c r="L20" i="73"/>
  <c r="J21" i="73"/>
  <c r="L21" i="73"/>
  <c r="J22" i="73"/>
  <c r="L22" i="73"/>
  <c r="J23" i="73"/>
  <c r="L23" i="73"/>
  <c r="J24" i="73"/>
  <c r="L24" i="73"/>
  <c r="J25" i="73"/>
  <c r="L25" i="73"/>
  <c r="J26" i="73"/>
  <c r="L26" i="73"/>
  <c r="J27" i="73"/>
  <c r="L27" i="73"/>
  <c r="J28" i="73"/>
  <c r="L28" i="73"/>
  <c r="J29" i="73"/>
  <c r="L29" i="73"/>
  <c r="J30" i="73"/>
  <c r="L30" i="73"/>
  <c r="J31" i="73"/>
  <c r="L31" i="73"/>
  <c r="J32" i="73"/>
  <c r="L32" i="73"/>
  <c r="J33" i="73"/>
  <c r="L33" i="73"/>
  <c r="J34" i="73"/>
  <c r="L34" i="73"/>
  <c r="J35" i="73"/>
  <c r="L35" i="73"/>
  <c r="J36" i="73"/>
  <c r="L36" i="73"/>
  <c r="J37" i="73"/>
  <c r="L37" i="73"/>
  <c r="J38" i="73"/>
  <c r="L38" i="73"/>
  <c r="J39" i="73"/>
  <c r="L39" i="73"/>
  <c r="J40" i="73"/>
  <c r="L40" i="73"/>
  <c r="J41" i="73"/>
  <c r="L41" i="73"/>
  <c r="J42" i="73"/>
  <c r="L42" i="73"/>
  <c r="J43" i="73"/>
  <c r="L43" i="73"/>
  <c r="J44" i="73"/>
  <c r="L44" i="73"/>
  <c r="J45" i="73"/>
  <c r="L45" i="73"/>
  <c r="J46" i="73"/>
  <c r="L46" i="73"/>
  <c r="J47" i="73"/>
  <c r="L47" i="73"/>
  <c r="J48" i="73"/>
  <c r="L48" i="73"/>
  <c r="J49" i="73"/>
  <c r="L49" i="73"/>
  <c r="J51" i="73"/>
  <c r="L51" i="73"/>
  <c r="J52" i="73"/>
  <c r="L52" i="73"/>
  <c r="J53" i="73"/>
  <c r="L53" i="73"/>
  <c r="J54" i="73"/>
  <c r="L54" i="73"/>
  <c r="J55" i="73"/>
  <c r="L55" i="73"/>
  <c r="J56" i="73"/>
  <c r="L56" i="73"/>
  <c r="J57" i="73"/>
  <c r="L57" i="73"/>
  <c r="J58" i="73"/>
  <c r="L58" i="73"/>
  <c r="J59" i="73"/>
  <c r="L59" i="73"/>
  <c r="J60" i="73"/>
  <c r="L60" i="73"/>
  <c r="J61" i="73"/>
  <c r="L61" i="73"/>
  <c r="J62" i="73"/>
  <c r="L62" i="73"/>
  <c r="J63" i="73"/>
  <c r="L63" i="73"/>
  <c r="J64" i="73"/>
  <c r="L64" i="73"/>
  <c r="J65" i="73"/>
  <c r="L65" i="73"/>
  <c r="J66" i="73"/>
  <c r="L66" i="73"/>
  <c r="J67" i="73"/>
  <c r="L67" i="73"/>
  <c r="J68" i="73"/>
  <c r="L68" i="73"/>
  <c r="J69" i="73"/>
  <c r="L69" i="73"/>
  <c r="J70" i="73"/>
  <c r="L70" i="73"/>
  <c r="J71" i="73"/>
  <c r="L71" i="73"/>
  <c r="J72" i="73"/>
  <c r="L72" i="73"/>
  <c r="J73" i="73"/>
  <c r="L73" i="73"/>
  <c r="J74" i="73"/>
  <c r="L74" i="73"/>
  <c r="J75" i="73"/>
  <c r="L75" i="73"/>
  <c r="J76" i="73"/>
  <c r="L76" i="73"/>
  <c r="J77" i="73"/>
  <c r="L77" i="73"/>
  <c r="J78" i="73"/>
  <c r="L78" i="73"/>
  <c r="J79" i="73"/>
  <c r="L79" i="73"/>
  <c r="J80" i="73"/>
  <c r="L80" i="73"/>
  <c r="J81" i="73"/>
  <c r="L81" i="73"/>
  <c r="J82" i="73"/>
  <c r="L82" i="73"/>
  <c r="J83" i="73"/>
  <c r="L83" i="73"/>
  <c r="J84" i="73"/>
  <c r="L84" i="73"/>
  <c r="J85" i="73"/>
  <c r="L85" i="73"/>
  <c r="J86" i="73"/>
  <c r="L86" i="73"/>
  <c r="J87" i="73"/>
  <c r="L87" i="73"/>
  <c r="J88" i="73"/>
  <c r="L88" i="73"/>
  <c r="J89" i="73"/>
  <c r="L89" i="73"/>
  <c r="J90" i="73"/>
  <c r="L90" i="73"/>
  <c r="J91" i="73"/>
  <c r="L91" i="73"/>
  <c r="J92" i="73"/>
  <c r="L92" i="73"/>
  <c r="J93" i="73"/>
  <c r="L93" i="73"/>
  <c r="J94" i="73"/>
  <c r="L94" i="73"/>
  <c r="J95" i="73"/>
  <c r="L95" i="73"/>
  <c r="J96" i="73"/>
  <c r="L96" i="73"/>
  <c r="J97" i="73"/>
  <c r="L97" i="73"/>
  <c r="J98" i="73"/>
  <c r="L98" i="73"/>
  <c r="J99" i="73"/>
  <c r="L99" i="73"/>
  <c r="J100" i="73"/>
  <c r="L100" i="73"/>
  <c r="J101" i="73"/>
  <c r="L101" i="73"/>
  <c r="J102" i="73"/>
  <c r="L102" i="73"/>
  <c r="J103" i="73"/>
  <c r="L103" i="73"/>
  <c r="J104" i="73"/>
  <c r="L104" i="73"/>
  <c r="J105" i="73"/>
  <c r="L105" i="73"/>
  <c r="J106" i="73"/>
  <c r="L106" i="73"/>
  <c r="J107" i="73"/>
  <c r="L107" i="73"/>
  <c r="J108" i="73"/>
  <c r="L108" i="73"/>
  <c r="J109" i="73"/>
  <c r="L109" i="73"/>
  <c r="J110" i="73"/>
  <c r="L110" i="73"/>
  <c r="J111" i="73"/>
  <c r="L111" i="73"/>
  <c r="J112" i="73"/>
  <c r="L112" i="73"/>
  <c r="J113" i="73"/>
  <c r="L113" i="73"/>
  <c r="J114" i="73"/>
  <c r="L114" i="73"/>
  <c r="J115" i="73"/>
  <c r="L115" i="73"/>
  <c r="J116" i="73"/>
  <c r="L116" i="73"/>
  <c r="J117" i="73"/>
  <c r="L117" i="73"/>
  <c r="J118" i="73"/>
  <c r="L118" i="73"/>
  <c r="J119" i="73"/>
  <c r="L119" i="73"/>
  <c r="J120" i="73"/>
  <c r="L120" i="73"/>
  <c r="J121" i="73"/>
  <c r="L121" i="73"/>
  <c r="J122" i="73"/>
  <c r="L122" i="73"/>
  <c r="J123" i="73"/>
  <c r="L123" i="73"/>
  <c r="J124" i="73"/>
  <c r="L124" i="73"/>
  <c r="J125" i="73"/>
  <c r="L125" i="73"/>
  <c r="J126" i="73"/>
  <c r="L126" i="73"/>
  <c r="J127" i="73"/>
  <c r="L127" i="73"/>
  <c r="J128" i="73"/>
  <c r="L128" i="73"/>
  <c r="J129" i="73"/>
  <c r="L129" i="73"/>
  <c r="J130" i="73"/>
  <c r="L130" i="73"/>
  <c r="J131" i="73"/>
  <c r="L131" i="73"/>
  <c r="J132" i="73"/>
  <c r="L132" i="73"/>
  <c r="J133" i="73"/>
  <c r="L133" i="73"/>
  <c r="J134" i="73"/>
  <c r="L134" i="73"/>
  <c r="J135" i="73"/>
  <c r="L135" i="73"/>
  <c r="J136" i="73"/>
  <c r="L136" i="73"/>
  <c r="J137" i="73"/>
  <c r="L137" i="73"/>
  <c r="J138" i="73"/>
  <c r="L138" i="73"/>
  <c r="J139" i="73"/>
  <c r="L139" i="73"/>
  <c r="J140" i="73"/>
  <c r="L140" i="73"/>
  <c r="J141" i="73"/>
  <c r="L141" i="73"/>
  <c r="J142" i="73"/>
  <c r="L142" i="73"/>
  <c r="J143" i="73"/>
  <c r="L143" i="73"/>
  <c r="J144" i="73"/>
  <c r="L144" i="73"/>
  <c r="J145" i="73"/>
  <c r="L145" i="73"/>
  <c r="J146" i="73"/>
  <c r="L146" i="73"/>
  <c r="J147" i="73"/>
  <c r="L147" i="73"/>
  <c r="J148" i="73"/>
  <c r="L148" i="73"/>
  <c r="J149" i="73"/>
  <c r="L149" i="73"/>
  <c r="J150" i="73"/>
  <c r="L150" i="73"/>
  <c r="J151" i="73"/>
  <c r="L151" i="73"/>
  <c r="J152" i="73"/>
  <c r="L152" i="73"/>
  <c r="J153" i="73"/>
  <c r="L153" i="73"/>
  <c r="J154" i="73"/>
  <c r="L154" i="73"/>
  <c r="J155" i="73"/>
  <c r="L155" i="73"/>
  <c r="J156" i="73"/>
  <c r="L156" i="73"/>
  <c r="J157" i="73"/>
  <c r="L157" i="73"/>
  <c r="J158" i="73"/>
  <c r="L158" i="73"/>
  <c r="J159" i="73"/>
  <c r="L159" i="73"/>
  <c r="J160" i="73"/>
  <c r="L160" i="73"/>
  <c r="J161" i="73"/>
  <c r="L161" i="73"/>
  <c r="J162" i="73"/>
  <c r="L162" i="73"/>
  <c r="J163" i="73"/>
  <c r="L163" i="73"/>
  <c r="J164" i="73"/>
  <c r="L164" i="73"/>
  <c r="L166" i="73"/>
  <c r="L179" i="73"/>
  <c r="I183" i="73"/>
  <c r="J183" i="73"/>
  <c r="L183" i="73"/>
  <c r="I184" i="73"/>
  <c r="J184" i="73"/>
  <c r="L184" i="73"/>
  <c r="I185" i="73"/>
  <c r="J185" i="73"/>
  <c r="L185" i="73"/>
  <c r="I186" i="73"/>
  <c r="J186" i="73"/>
  <c r="L186" i="73"/>
  <c r="I187" i="73"/>
  <c r="J187" i="73"/>
  <c r="L187" i="73"/>
  <c r="I188" i="73"/>
  <c r="J188" i="73"/>
  <c r="L188" i="73"/>
  <c r="I189" i="73"/>
  <c r="J189" i="73"/>
  <c r="L189" i="73"/>
  <c r="L191" i="73"/>
  <c r="I195" i="73"/>
  <c r="J195" i="73"/>
  <c r="L195" i="73"/>
  <c r="I196" i="73"/>
  <c r="J196" i="73"/>
  <c r="L196" i="73"/>
  <c r="I197" i="73"/>
  <c r="J197" i="73"/>
  <c r="L197" i="73"/>
  <c r="I198" i="73"/>
  <c r="J198" i="73"/>
  <c r="L198" i="73"/>
  <c r="I199" i="73"/>
  <c r="J199" i="73"/>
  <c r="L199" i="73"/>
  <c r="I200" i="73"/>
  <c r="J200" i="73"/>
  <c r="L200" i="73"/>
  <c r="I201" i="73"/>
  <c r="J201" i="73"/>
  <c r="L201" i="73"/>
  <c r="I202" i="73"/>
  <c r="J202" i="73"/>
  <c r="L202" i="73"/>
  <c r="L204" i="73"/>
  <c r="I208" i="73"/>
  <c r="J208" i="73"/>
  <c r="L208" i="73"/>
  <c r="I209" i="73"/>
  <c r="J209" i="73"/>
  <c r="L209" i="73"/>
  <c r="I210" i="73"/>
  <c r="J210" i="73"/>
  <c r="L210" i="73"/>
  <c r="I211" i="73"/>
  <c r="J211" i="73"/>
  <c r="L211" i="73"/>
  <c r="I212" i="73"/>
  <c r="J212" i="73"/>
  <c r="L212" i="73"/>
  <c r="L214" i="73"/>
  <c r="L216" i="73"/>
  <c r="L218" i="73"/>
  <c r="K166" i="73"/>
  <c r="K179" i="73"/>
  <c r="K191" i="73"/>
  <c r="K204" i="73"/>
  <c r="K214" i="73"/>
  <c r="K216" i="73"/>
  <c r="L220" i="73"/>
  <c r="L222" i="73"/>
  <c r="N214" i="73"/>
  <c r="G214" i="73"/>
  <c r="N216" i="73"/>
  <c r="N218" i="73"/>
  <c r="N219" i="73"/>
  <c r="J50" i="73"/>
  <c r="J166" i="73"/>
  <c r="J179" i="73"/>
  <c r="J191" i="73"/>
  <c r="J204" i="73"/>
  <c r="J214" i="73"/>
  <c r="J216" i="73"/>
  <c r="I166" i="73"/>
  <c r="I179" i="73"/>
  <c r="I191" i="73"/>
  <c r="I204" i="73"/>
  <c r="I214" i="73"/>
  <c r="I216" i="73"/>
  <c r="H3" i="73"/>
  <c r="H4" i="73"/>
  <c r="H5" i="73"/>
  <c r="H6" i="73"/>
  <c r="H7" i="73"/>
  <c r="H8" i="73"/>
  <c r="H9" i="73"/>
  <c r="H10" i="73"/>
  <c r="H11" i="73"/>
  <c r="H12" i="73"/>
  <c r="H13" i="73"/>
  <c r="H14" i="73"/>
  <c r="H15" i="73"/>
  <c r="H16" i="73"/>
  <c r="H17" i="73"/>
  <c r="H18" i="73"/>
  <c r="H19" i="73"/>
  <c r="H20" i="73"/>
  <c r="H21" i="73"/>
  <c r="H22" i="73"/>
  <c r="H23" i="73"/>
  <c r="H24" i="73"/>
  <c r="H25" i="73"/>
  <c r="H26" i="73"/>
  <c r="H27" i="73"/>
  <c r="H28" i="73"/>
  <c r="H29" i="73"/>
  <c r="H30" i="73"/>
  <c r="H31" i="73"/>
  <c r="H32" i="73"/>
  <c r="H33" i="73"/>
  <c r="H34" i="73"/>
  <c r="H35" i="73"/>
  <c r="H36" i="73"/>
  <c r="H37" i="73"/>
  <c r="H38" i="73"/>
  <c r="H39" i="73"/>
  <c r="H40" i="73"/>
  <c r="H41" i="73"/>
  <c r="H42" i="73"/>
  <c r="H43" i="73"/>
  <c r="H44" i="73"/>
  <c r="H45" i="73"/>
  <c r="H46" i="73"/>
  <c r="H47" i="73"/>
  <c r="H48" i="73"/>
  <c r="H49" i="73"/>
  <c r="H50" i="73"/>
  <c r="H51" i="73"/>
  <c r="H52" i="73"/>
  <c r="H53" i="73"/>
  <c r="H54" i="73"/>
  <c r="H55" i="73"/>
  <c r="H56" i="73"/>
  <c r="H57" i="73"/>
  <c r="H58" i="73"/>
  <c r="H59" i="73"/>
  <c r="H60" i="73"/>
  <c r="H61" i="73"/>
  <c r="H62" i="73"/>
  <c r="H63" i="73"/>
  <c r="H64" i="73"/>
  <c r="H65" i="73"/>
  <c r="H66" i="73"/>
  <c r="H67" i="73"/>
  <c r="H68" i="73"/>
  <c r="H69" i="73"/>
  <c r="H70" i="73"/>
  <c r="H71" i="73"/>
  <c r="H72" i="73"/>
  <c r="H73" i="73"/>
  <c r="H74" i="73"/>
  <c r="H75" i="73"/>
  <c r="H76" i="73"/>
  <c r="H77" i="73"/>
  <c r="H78" i="73"/>
  <c r="H79" i="73"/>
  <c r="H80" i="73"/>
  <c r="H81" i="73"/>
  <c r="H82" i="73"/>
  <c r="H83" i="73"/>
  <c r="H84" i="73"/>
  <c r="H85" i="73"/>
  <c r="H86" i="73"/>
  <c r="H87" i="73"/>
  <c r="H88" i="73"/>
  <c r="H89" i="73"/>
  <c r="H90" i="73"/>
  <c r="H91" i="73"/>
  <c r="H92" i="73"/>
  <c r="H93" i="73"/>
  <c r="H94" i="73"/>
  <c r="H95" i="73"/>
  <c r="H96" i="73"/>
  <c r="H97" i="73"/>
  <c r="H98" i="73"/>
  <c r="H99" i="73"/>
  <c r="H100" i="73"/>
  <c r="H101" i="73"/>
  <c r="H102" i="73"/>
  <c r="H103" i="73"/>
  <c r="H104" i="73"/>
  <c r="H105" i="73"/>
  <c r="H106" i="73"/>
  <c r="H107" i="73"/>
  <c r="H108" i="73"/>
  <c r="H109" i="73"/>
  <c r="H110" i="73"/>
  <c r="H111" i="73"/>
  <c r="H112" i="73"/>
  <c r="H113" i="73"/>
  <c r="H114" i="73"/>
  <c r="H115" i="73"/>
  <c r="H116" i="73"/>
  <c r="H117" i="73"/>
  <c r="H118" i="73"/>
  <c r="H119" i="73"/>
  <c r="H120" i="73"/>
  <c r="H121" i="73"/>
  <c r="H122" i="73"/>
  <c r="H123" i="73"/>
  <c r="H124" i="73"/>
  <c r="H125" i="73"/>
  <c r="H126" i="73"/>
  <c r="H127" i="73"/>
  <c r="H128" i="73"/>
  <c r="H129" i="73"/>
  <c r="H130" i="73"/>
  <c r="H131" i="73"/>
  <c r="H132" i="73"/>
  <c r="H133" i="73"/>
  <c r="H134" i="73"/>
  <c r="H135" i="73"/>
  <c r="H136" i="73"/>
  <c r="H137" i="73"/>
  <c r="H138" i="73"/>
  <c r="H139" i="73"/>
  <c r="H140" i="73"/>
  <c r="H141" i="73"/>
  <c r="H142" i="73"/>
  <c r="H143" i="73"/>
  <c r="H144" i="73"/>
  <c r="H145" i="73"/>
  <c r="H146" i="73"/>
  <c r="H147" i="73"/>
  <c r="H148" i="73"/>
  <c r="H149" i="73"/>
  <c r="H150" i="73"/>
  <c r="H151" i="73"/>
  <c r="H152" i="73"/>
  <c r="H153" i="73"/>
  <c r="H154" i="73"/>
  <c r="H155" i="73"/>
  <c r="H156" i="73"/>
  <c r="H157" i="73"/>
  <c r="H158" i="73"/>
  <c r="H159" i="73"/>
  <c r="H160" i="73"/>
  <c r="H161" i="73"/>
  <c r="H162" i="73"/>
  <c r="H163" i="73"/>
  <c r="H164" i="73"/>
  <c r="H166" i="73"/>
  <c r="H179" i="73"/>
  <c r="H191" i="73"/>
  <c r="H204" i="73"/>
  <c r="H214" i="73"/>
  <c r="H216" i="73"/>
  <c r="G166" i="73"/>
  <c r="G179" i="73"/>
  <c r="G191" i="73"/>
  <c r="G204" i="73"/>
  <c r="G216" i="73"/>
  <c r="E3" i="73"/>
  <c r="E4" i="73"/>
  <c r="E5" i="73"/>
  <c r="E6" i="73"/>
  <c r="E7" i="73"/>
  <c r="E8" i="73"/>
  <c r="E9" i="73"/>
  <c r="E10" i="73"/>
  <c r="E11" i="73"/>
  <c r="E12" i="73"/>
  <c r="E13" i="73"/>
  <c r="E14" i="73"/>
  <c r="E15" i="73"/>
  <c r="E16" i="73"/>
  <c r="E17" i="73"/>
  <c r="E18" i="73"/>
  <c r="E19" i="73"/>
  <c r="E20" i="73"/>
  <c r="E21" i="73"/>
  <c r="E22" i="73"/>
  <c r="E23" i="73"/>
  <c r="E24" i="73"/>
  <c r="E25" i="73"/>
  <c r="E26" i="73"/>
  <c r="E27" i="73"/>
  <c r="E28" i="73"/>
  <c r="E29" i="73"/>
  <c r="E30" i="73"/>
  <c r="E31" i="73"/>
  <c r="E32" i="73"/>
  <c r="E33" i="73"/>
  <c r="E34" i="73"/>
  <c r="E35" i="73"/>
  <c r="E36" i="73"/>
  <c r="E37" i="73"/>
  <c r="E38" i="73"/>
  <c r="E39" i="73"/>
  <c r="E40" i="73"/>
  <c r="E41" i="73"/>
  <c r="E42" i="73"/>
  <c r="E43" i="73"/>
  <c r="E44" i="73"/>
  <c r="E45" i="73"/>
  <c r="E46" i="73"/>
  <c r="E47" i="73"/>
  <c r="E48" i="73"/>
  <c r="E49" i="73"/>
  <c r="E50" i="73"/>
  <c r="E51" i="73"/>
  <c r="E52" i="73"/>
  <c r="E53" i="73"/>
  <c r="E54" i="73"/>
  <c r="E55" i="73"/>
  <c r="E56" i="73"/>
  <c r="E57" i="73"/>
  <c r="E58" i="73"/>
  <c r="E59" i="73"/>
  <c r="E60" i="73"/>
  <c r="E61" i="73"/>
  <c r="E62" i="73"/>
  <c r="E63" i="73"/>
  <c r="E64" i="73"/>
  <c r="E65" i="73"/>
  <c r="E66" i="73"/>
  <c r="E67" i="73"/>
  <c r="E68" i="73"/>
  <c r="E69" i="73"/>
  <c r="E70" i="73"/>
  <c r="E71" i="73"/>
  <c r="E72" i="73"/>
  <c r="E73" i="73"/>
  <c r="E74" i="73"/>
  <c r="E75" i="73"/>
  <c r="E76" i="73"/>
  <c r="E77" i="73"/>
  <c r="E78" i="73"/>
  <c r="E79" i="73"/>
  <c r="E80" i="73"/>
  <c r="E81" i="73"/>
  <c r="E82" i="73"/>
  <c r="E83" i="73"/>
  <c r="E84" i="73"/>
  <c r="E85" i="73"/>
  <c r="E86" i="73"/>
  <c r="E87" i="73"/>
  <c r="E88" i="73"/>
  <c r="E89" i="73"/>
  <c r="E90" i="73"/>
  <c r="E91" i="73"/>
  <c r="E92" i="73"/>
  <c r="E93" i="73"/>
  <c r="E94" i="73"/>
  <c r="E95" i="73"/>
  <c r="E96" i="73"/>
  <c r="E97" i="73"/>
  <c r="E98" i="73"/>
  <c r="E99" i="73"/>
  <c r="E100" i="73"/>
  <c r="E101" i="73"/>
  <c r="E102" i="73"/>
  <c r="E103" i="73"/>
  <c r="E104" i="73"/>
  <c r="E105" i="73"/>
  <c r="E106" i="73"/>
  <c r="E107" i="73"/>
  <c r="E108" i="73"/>
  <c r="E109" i="73"/>
  <c r="E110" i="73"/>
  <c r="E111" i="73"/>
  <c r="E112" i="73"/>
  <c r="E113" i="73"/>
  <c r="E114" i="73"/>
  <c r="E115" i="73"/>
  <c r="E116" i="73"/>
  <c r="E117" i="73"/>
  <c r="E118" i="73"/>
  <c r="E119" i="73"/>
  <c r="E120" i="73"/>
  <c r="E121" i="73"/>
  <c r="E122" i="73"/>
  <c r="E123" i="73"/>
  <c r="E124" i="73"/>
  <c r="E125" i="73"/>
  <c r="E126" i="73"/>
  <c r="E127" i="73"/>
  <c r="E128" i="73"/>
  <c r="E129" i="73"/>
  <c r="E130" i="73"/>
  <c r="E131" i="73"/>
  <c r="E132" i="73"/>
  <c r="E133" i="73"/>
  <c r="E134" i="73"/>
  <c r="E135" i="73"/>
  <c r="E136" i="73"/>
  <c r="E137" i="73"/>
  <c r="E138" i="73"/>
  <c r="E139" i="73"/>
  <c r="E140" i="73"/>
  <c r="E141" i="73"/>
  <c r="E142" i="73"/>
  <c r="E143" i="73"/>
  <c r="E144" i="73"/>
  <c r="E145" i="73"/>
  <c r="E146" i="73"/>
  <c r="E147" i="73"/>
  <c r="E148" i="73"/>
  <c r="E149" i="73"/>
  <c r="E150" i="73"/>
  <c r="E151" i="73"/>
  <c r="E152" i="73"/>
  <c r="E153" i="73"/>
  <c r="E154" i="73"/>
  <c r="E155" i="73"/>
  <c r="E156" i="73"/>
  <c r="E157" i="73"/>
  <c r="E158" i="73"/>
  <c r="E159" i="73"/>
  <c r="E160" i="73"/>
  <c r="E161" i="73"/>
  <c r="E162" i="73"/>
  <c r="E163" i="73"/>
  <c r="E164" i="73"/>
  <c r="E166" i="73"/>
  <c r="E168" i="73"/>
  <c r="E169" i="73"/>
  <c r="E170" i="73"/>
  <c r="E171" i="73"/>
  <c r="E172" i="73"/>
  <c r="E173" i="73"/>
  <c r="E174" i="73"/>
  <c r="E176" i="73"/>
  <c r="E179" i="73"/>
  <c r="E183" i="73"/>
  <c r="E184" i="73"/>
  <c r="E185" i="73"/>
  <c r="E186" i="73"/>
  <c r="E187" i="73"/>
  <c r="E188" i="73"/>
  <c r="E189" i="73"/>
  <c r="E191" i="73"/>
  <c r="E195" i="73"/>
  <c r="E196" i="73"/>
  <c r="E197" i="73"/>
  <c r="E198" i="73"/>
  <c r="E199" i="73"/>
  <c r="E200" i="73"/>
  <c r="E201" i="73"/>
  <c r="E202" i="73"/>
  <c r="E204" i="73"/>
  <c r="E208" i="73"/>
  <c r="E209" i="73"/>
  <c r="E210" i="73"/>
  <c r="E211" i="73"/>
  <c r="E212" i="73"/>
  <c r="E214" i="73"/>
  <c r="E216" i="73"/>
  <c r="D166" i="73"/>
  <c r="D176" i="73"/>
  <c r="D179" i="73"/>
  <c r="D191" i="73"/>
  <c r="D204" i="73"/>
  <c r="D214" i="73"/>
  <c r="D216" i="73"/>
  <c r="C166" i="73"/>
  <c r="C176" i="73"/>
  <c r="C179" i="73"/>
  <c r="C191" i="73"/>
  <c r="C204" i="73"/>
  <c r="C214" i="73"/>
  <c r="C216" i="73"/>
  <c r="O207" i="73"/>
  <c r="P208" i="73"/>
  <c r="O208" i="73"/>
  <c r="Q208" i="73"/>
  <c r="P209" i="73"/>
  <c r="O209" i="73"/>
  <c r="Q209" i="73"/>
  <c r="P210" i="73"/>
  <c r="O210" i="73"/>
  <c r="Q210" i="73"/>
  <c r="P211" i="73"/>
  <c r="O211" i="73"/>
  <c r="Q211" i="73"/>
  <c r="P212" i="73"/>
  <c r="O212" i="73"/>
  <c r="Q212" i="73"/>
  <c r="Q214" i="73"/>
  <c r="P214" i="73"/>
  <c r="O214" i="73"/>
  <c r="M214" i="73"/>
  <c r="M212" i="73"/>
  <c r="M211" i="73"/>
  <c r="M210" i="73"/>
  <c r="M209" i="73"/>
  <c r="M208" i="73"/>
  <c r="M204" i="73"/>
  <c r="M202" i="73"/>
  <c r="M201" i="73"/>
  <c r="M200" i="73"/>
  <c r="M199" i="73"/>
  <c r="M198" i="73"/>
  <c r="M197" i="73"/>
  <c r="M196" i="73"/>
  <c r="M195" i="73"/>
  <c r="M191" i="73"/>
  <c r="M189" i="73"/>
  <c r="M188" i="73"/>
  <c r="M187" i="73"/>
  <c r="M186" i="73"/>
  <c r="M185" i="73"/>
  <c r="M184" i="73"/>
  <c r="M183" i="73"/>
  <c r="C31" i="29"/>
  <c r="C32" i="29"/>
  <c r="C34" i="29"/>
  <c r="C24" i="29"/>
  <c r="C26" i="29"/>
  <c r="C39" i="29"/>
  <c r="C43" i="29"/>
  <c r="E32" i="29"/>
  <c r="E24" i="29"/>
  <c r="C14" i="29"/>
  <c r="E31" i="30"/>
  <c r="E33" i="30"/>
  <c r="E35" i="30"/>
  <c r="E39" i="30"/>
  <c r="C31" i="30"/>
  <c r="C33" i="30"/>
  <c r="C35" i="30"/>
  <c r="C39" i="30"/>
  <c r="K5" i="84"/>
  <c r="K6" i="84"/>
  <c r="K7" i="84"/>
  <c r="K8" i="84"/>
  <c r="K9" i="84"/>
  <c r="J9" i="84"/>
  <c r="I9" i="84"/>
  <c r="H9" i="84"/>
  <c r="G9" i="84"/>
  <c r="F9" i="84"/>
  <c r="E9" i="84"/>
  <c r="D9" i="84"/>
  <c r="C9" i="84"/>
  <c r="B9" i="84"/>
  <c r="F10" i="17"/>
  <c r="F19" i="17"/>
  <c r="F24" i="17"/>
  <c r="F30" i="17"/>
  <c r="F35" i="17"/>
  <c r="F37" i="17"/>
  <c r="F46" i="17"/>
  <c r="F55" i="17"/>
  <c r="F66" i="17"/>
  <c r="F75" i="17"/>
  <c r="F77" i="17"/>
  <c r="D10" i="17"/>
  <c r="D19" i="17"/>
  <c r="D24" i="17"/>
  <c r="D30" i="17"/>
  <c r="D35" i="17"/>
  <c r="D37" i="17"/>
  <c r="D46" i="17"/>
  <c r="D55" i="17"/>
  <c r="D66" i="17"/>
  <c r="D75" i="17"/>
  <c r="D77" i="17"/>
  <c r="B10" i="17"/>
  <c r="B19" i="17"/>
  <c r="B24" i="17"/>
  <c r="B30" i="17"/>
  <c r="B35" i="17"/>
  <c r="B37" i="17"/>
  <c r="B46" i="17"/>
  <c r="B55" i="17"/>
  <c r="B66" i="17"/>
  <c r="B75" i="17"/>
  <c r="B77" i="17"/>
  <c r="J77" i="17"/>
  <c r="H3" i="17"/>
  <c r="H4" i="17"/>
  <c r="H5" i="17"/>
  <c r="H6" i="17"/>
  <c r="H7" i="17"/>
  <c r="H8" i="17"/>
  <c r="H9" i="17"/>
  <c r="H10" i="17"/>
  <c r="H14" i="17"/>
  <c r="H15" i="17"/>
  <c r="H16" i="17"/>
  <c r="H17" i="17"/>
  <c r="H18" i="17"/>
  <c r="H19" i="17"/>
  <c r="H23" i="17"/>
  <c r="H24" i="17"/>
  <c r="H28" i="17"/>
  <c r="H29" i="17"/>
  <c r="H30" i="17"/>
  <c r="H34" i="17"/>
  <c r="H35" i="17"/>
  <c r="H37" i="17"/>
  <c r="H41" i="17"/>
  <c r="H42" i="17"/>
  <c r="H43" i="17"/>
  <c r="H44" i="17"/>
  <c r="H45" i="17"/>
  <c r="H46" i="17"/>
  <c r="H50" i="17"/>
  <c r="H51" i="17"/>
  <c r="H52" i="17"/>
  <c r="H53" i="17"/>
  <c r="H54" i="17"/>
  <c r="H55" i="17"/>
  <c r="H59" i="17"/>
  <c r="H60" i="17"/>
  <c r="H61" i="17"/>
  <c r="H62" i="17"/>
  <c r="H63" i="17"/>
  <c r="H64" i="17"/>
  <c r="H65" i="17"/>
  <c r="H66" i="17"/>
  <c r="H71" i="17"/>
  <c r="H72" i="17"/>
  <c r="H73" i="17"/>
  <c r="H74" i="17"/>
  <c r="H75" i="17"/>
  <c r="H77" i="17"/>
  <c r="J75" i="17"/>
  <c r="J74" i="17"/>
  <c r="J73" i="17"/>
  <c r="J72" i="17"/>
  <c r="J71" i="17"/>
  <c r="J66" i="17"/>
  <c r="J65" i="17"/>
  <c r="J64" i="17"/>
  <c r="J63" i="17"/>
  <c r="J62" i="17"/>
  <c r="J61" i="17"/>
  <c r="J60" i="17"/>
  <c r="J59" i="17"/>
  <c r="J55" i="17"/>
  <c r="J54" i="17"/>
  <c r="J53" i="17"/>
  <c r="J52" i="17"/>
  <c r="J51" i="17"/>
  <c r="J50" i="17"/>
  <c r="J46" i="17"/>
  <c r="J45" i="17"/>
  <c r="J44" i="17"/>
  <c r="J43" i="17"/>
  <c r="J42" i="17"/>
  <c r="J41" i="17"/>
  <c r="J37" i="17"/>
  <c r="J35" i="17"/>
  <c r="J34" i="17"/>
  <c r="J30" i="17"/>
  <c r="J29" i="17"/>
  <c r="J28" i="17"/>
  <c r="J24" i="17"/>
  <c r="J23" i="17"/>
  <c r="J19" i="17"/>
  <c r="J18" i="17"/>
  <c r="J17" i="17"/>
  <c r="J16" i="17"/>
  <c r="J15" i="17"/>
  <c r="J14" i="17"/>
  <c r="J10" i="17"/>
  <c r="J9" i="17"/>
  <c r="J8" i="17"/>
  <c r="J7" i="17"/>
  <c r="J6" i="17"/>
  <c r="J5" i="17"/>
  <c r="J4" i="17"/>
  <c r="J3" i="17"/>
  <c r="F21" i="16"/>
  <c r="F41" i="16"/>
  <c r="F50" i="16"/>
  <c r="F69" i="16"/>
  <c r="F82" i="16"/>
  <c r="F96" i="16"/>
  <c r="F113" i="16"/>
  <c r="F132" i="16"/>
  <c r="F141" i="16"/>
  <c r="F143" i="16"/>
  <c r="D21" i="16"/>
  <c r="D41" i="16"/>
  <c r="D50" i="16"/>
  <c r="D69" i="16"/>
  <c r="D82" i="16"/>
  <c r="D96" i="16"/>
  <c r="D113" i="16"/>
  <c r="D132" i="16"/>
  <c r="D141" i="16"/>
  <c r="D143" i="16"/>
  <c r="B21" i="16"/>
  <c r="B41" i="16"/>
  <c r="B50" i="16"/>
  <c r="B69" i="16"/>
  <c r="B82" i="16"/>
  <c r="B96" i="16"/>
  <c r="B113" i="16"/>
  <c r="B132" i="16"/>
  <c r="B141" i="16"/>
  <c r="B143" i="16"/>
  <c r="J143" i="16"/>
  <c r="H3" i="16"/>
  <c r="H4" i="16"/>
  <c r="H5" i="16"/>
  <c r="H6" i="16"/>
  <c r="H7" i="16"/>
  <c r="H8" i="16"/>
  <c r="H9" i="16"/>
  <c r="H10" i="16"/>
  <c r="H11" i="16"/>
  <c r="H12" i="16"/>
  <c r="H13" i="16"/>
  <c r="H14" i="16"/>
  <c r="H15" i="16"/>
  <c r="H16" i="16"/>
  <c r="H17" i="16"/>
  <c r="H18" i="16"/>
  <c r="H19" i="16"/>
  <c r="H20" i="16"/>
  <c r="H21" i="16"/>
  <c r="H25" i="16"/>
  <c r="H26" i="16"/>
  <c r="H27" i="16"/>
  <c r="H28" i="16"/>
  <c r="H29" i="16"/>
  <c r="H30" i="16"/>
  <c r="H31" i="16"/>
  <c r="H32" i="16"/>
  <c r="H33" i="16"/>
  <c r="H34" i="16"/>
  <c r="H35" i="16"/>
  <c r="H36" i="16"/>
  <c r="H37" i="16"/>
  <c r="H38" i="16"/>
  <c r="H39" i="16"/>
  <c r="H40" i="16"/>
  <c r="H41" i="16"/>
  <c r="H45" i="16"/>
  <c r="H46" i="16"/>
  <c r="H47" i="16"/>
  <c r="H48" i="16"/>
  <c r="H49" i="16"/>
  <c r="H50" i="16"/>
  <c r="H54" i="16"/>
  <c r="H55" i="16"/>
  <c r="H56" i="16"/>
  <c r="H57" i="16"/>
  <c r="H58" i="16"/>
  <c r="H59" i="16"/>
  <c r="H60" i="16"/>
  <c r="H61" i="16"/>
  <c r="H62" i="16"/>
  <c r="H63" i="16"/>
  <c r="H64" i="16"/>
  <c r="H65" i="16"/>
  <c r="H66" i="16"/>
  <c r="H67" i="16"/>
  <c r="H68" i="16"/>
  <c r="H69" i="16"/>
  <c r="H73" i="16"/>
  <c r="H74" i="16"/>
  <c r="H75" i="16"/>
  <c r="H76" i="16"/>
  <c r="H77" i="16"/>
  <c r="H78" i="16"/>
  <c r="H79" i="16"/>
  <c r="H80" i="16"/>
  <c r="H81" i="16"/>
  <c r="H82" i="16"/>
  <c r="H86" i="16"/>
  <c r="H87" i="16"/>
  <c r="H88" i="16"/>
  <c r="H89" i="16"/>
  <c r="H90" i="16"/>
  <c r="H91" i="16"/>
  <c r="H92" i="16"/>
  <c r="H93" i="16"/>
  <c r="H94" i="16"/>
  <c r="H95" i="16"/>
  <c r="H96" i="16"/>
  <c r="H100" i="16"/>
  <c r="H101" i="16"/>
  <c r="H102" i="16"/>
  <c r="H103" i="16"/>
  <c r="H104" i="16"/>
  <c r="H105" i="16"/>
  <c r="H106" i="16"/>
  <c r="H107" i="16"/>
  <c r="H108" i="16"/>
  <c r="H109" i="16"/>
  <c r="H110" i="16"/>
  <c r="H111" i="16"/>
  <c r="H112" i="16"/>
  <c r="H113" i="16"/>
  <c r="H117" i="16"/>
  <c r="H118" i="16"/>
  <c r="H119" i="16"/>
  <c r="H120" i="16"/>
  <c r="H121" i="16"/>
  <c r="H122" i="16"/>
  <c r="H123" i="16"/>
  <c r="H124" i="16"/>
  <c r="H125" i="16"/>
  <c r="H126" i="16"/>
  <c r="H127" i="16"/>
  <c r="H128" i="16"/>
  <c r="H129" i="16"/>
  <c r="H130" i="16"/>
  <c r="H131" i="16"/>
  <c r="H132" i="16"/>
  <c r="H136" i="16"/>
  <c r="H137" i="16"/>
  <c r="H138" i="16"/>
  <c r="H139" i="16"/>
  <c r="H140" i="16"/>
  <c r="H141" i="16"/>
  <c r="H143" i="16"/>
  <c r="J141" i="16"/>
  <c r="J140" i="16"/>
  <c r="J139" i="16"/>
  <c r="J138" i="16"/>
  <c r="J137" i="16"/>
  <c r="J136" i="16"/>
  <c r="J132" i="16"/>
  <c r="J131" i="16"/>
  <c r="J130" i="16"/>
  <c r="J128" i="16"/>
  <c r="J127" i="16"/>
  <c r="J126" i="16"/>
  <c r="J124" i="16"/>
  <c r="J123" i="16"/>
  <c r="J122" i="16"/>
  <c r="J121" i="16"/>
  <c r="J120" i="16"/>
  <c r="J117" i="16"/>
  <c r="J113" i="16"/>
  <c r="J111" i="16"/>
  <c r="J110" i="16"/>
  <c r="J109" i="16"/>
  <c r="J107" i="16"/>
  <c r="J106" i="16"/>
  <c r="J105" i="16"/>
  <c r="J104" i="16"/>
  <c r="J103" i="16"/>
  <c r="J102" i="16"/>
  <c r="J101" i="16"/>
  <c r="J100" i="16"/>
  <c r="J96" i="16"/>
  <c r="J95" i="16"/>
  <c r="J94" i="16"/>
  <c r="J93" i="16"/>
  <c r="J92" i="16"/>
  <c r="J91" i="16"/>
  <c r="J90" i="16"/>
  <c r="J89" i="16"/>
  <c r="J88" i="16"/>
  <c r="J87" i="16"/>
  <c r="J86" i="16"/>
  <c r="J82" i="16"/>
  <c r="J81" i="16"/>
  <c r="J80" i="16"/>
  <c r="J79" i="16"/>
  <c r="J78" i="16"/>
  <c r="J77" i="16"/>
  <c r="J76" i="16"/>
  <c r="J75" i="16"/>
  <c r="J74" i="16"/>
  <c r="J73" i="16"/>
  <c r="J69" i="16"/>
  <c r="J68" i="16"/>
  <c r="J67" i="16"/>
  <c r="J66" i="16"/>
  <c r="J65" i="16"/>
  <c r="J64" i="16"/>
  <c r="J63" i="16"/>
  <c r="J62" i="16"/>
  <c r="J61" i="16"/>
  <c r="J60" i="16"/>
  <c r="J59" i="16"/>
  <c r="J58" i="16"/>
  <c r="J57" i="16"/>
  <c r="J56" i="16"/>
  <c r="J55" i="16"/>
  <c r="J54" i="16"/>
  <c r="J50" i="16"/>
  <c r="J49" i="16"/>
  <c r="J48" i="16"/>
  <c r="J47" i="16"/>
  <c r="J46" i="16"/>
  <c r="J45" i="16"/>
  <c r="J41" i="16"/>
  <c r="J40" i="16"/>
  <c r="J39" i="16"/>
  <c r="J37" i="16"/>
  <c r="J36" i="16"/>
  <c r="J35" i="16"/>
  <c r="J34" i="16"/>
  <c r="J33" i="16"/>
  <c r="J32" i="16"/>
  <c r="J31" i="16"/>
  <c r="J30" i="16"/>
  <c r="J29" i="16"/>
  <c r="J28" i="16"/>
  <c r="J27" i="16"/>
  <c r="J26" i="16"/>
  <c r="J25" i="16"/>
  <c r="J21" i="16"/>
  <c r="J20" i="16"/>
  <c r="J19" i="16"/>
  <c r="J18" i="16"/>
  <c r="J17" i="16"/>
  <c r="J16" i="16"/>
  <c r="J15" i="16"/>
  <c r="J14" i="16"/>
  <c r="J13" i="16"/>
  <c r="J12" i="16"/>
  <c r="J11" i="16"/>
  <c r="J10" i="16"/>
  <c r="J9" i="16"/>
  <c r="J8" i="16"/>
  <c r="J7" i="16"/>
  <c r="J6" i="16"/>
  <c r="J5" i="16"/>
  <c r="J4" i="16"/>
  <c r="J3" i="16"/>
  <c r="G5" i="12"/>
  <c r="G14" i="12"/>
  <c r="G21" i="12"/>
  <c r="G81" i="12"/>
  <c r="G85" i="12"/>
  <c r="G94" i="12"/>
  <c r="G98" i="12"/>
  <c r="G101" i="12"/>
  <c r="G109" i="12"/>
  <c r="G119" i="12"/>
  <c r="G126" i="12"/>
  <c r="E5" i="12"/>
  <c r="E14" i="12"/>
  <c r="E21" i="12"/>
  <c r="E81" i="12"/>
  <c r="E85" i="12"/>
  <c r="E94" i="12"/>
  <c r="E98" i="12"/>
  <c r="E101" i="12"/>
  <c r="E109" i="12"/>
  <c r="E119" i="12"/>
  <c r="E126" i="12"/>
  <c r="C5" i="12"/>
  <c r="C14" i="12"/>
  <c r="C21" i="12"/>
  <c r="C81" i="12"/>
  <c r="C85" i="12"/>
  <c r="C94" i="12"/>
  <c r="C98" i="12"/>
  <c r="C101" i="12"/>
  <c r="C109" i="12"/>
  <c r="C119" i="12"/>
  <c r="C126" i="12"/>
  <c r="J126" i="12"/>
  <c r="I6" i="12"/>
  <c r="I7" i="12"/>
  <c r="I8" i="12"/>
  <c r="I9" i="12"/>
  <c r="I10" i="12"/>
  <c r="I11" i="12"/>
  <c r="I12" i="12"/>
  <c r="I5" i="12"/>
  <c r="I15" i="12"/>
  <c r="I16" i="12"/>
  <c r="I17" i="12"/>
  <c r="I18" i="12"/>
  <c r="I19" i="12"/>
  <c r="I14"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21" i="12"/>
  <c r="I82" i="12"/>
  <c r="I83" i="12"/>
  <c r="I81" i="12"/>
  <c r="I86" i="12"/>
  <c r="I87" i="12"/>
  <c r="I88" i="12"/>
  <c r="I89" i="12"/>
  <c r="I90" i="12"/>
  <c r="I91" i="12"/>
  <c r="I92" i="12"/>
  <c r="I85" i="12"/>
  <c r="I95" i="12"/>
  <c r="I96" i="12"/>
  <c r="I94" i="12"/>
  <c r="I99" i="12"/>
  <c r="I98" i="12"/>
  <c r="I102" i="12"/>
  <c r="I103" i="12"/>
  <c r="I104" i="12"/>
  <c r="I105" i="12"/>
  <c r="I106" i="12"/>
  <c r="I107" i="12"/>
  <c r="I101" i="12"/>
  <c r="I110" i="12"/>
  <c r="I111" i="12"/>
  <c r="I112" i="12"/>
  <c r="I113" i="12"/>
  <c r="I114" i="12"/>
  <c r="I115" i="12"/>
  <c r="I116" i="12"/>
  <c r="I117" i="12"/>
  <c r="I109" i="12"/>
  <c r="I120" i="12"/>
  <c r="I121" i="12"/>
  <c r="I122" i="12"/>
  <c r="I123" i="12"/>
  <c r="I124" i="12"/>
  <c r="I119" i="12"/>
  <c r="I126" i="12"/>
  <c r="J124" i="12"/>
  <c r="J123" i="12"/>
  <c r="J122" i="12"/>
  <c r="J121" i="12"/>
  <c r="J120" i="12"/>
  <c r="J119" i="12"/>
  <c r="J117" i="12"/>
  <c r="J116" i="12"/>
  <c r="J115" i="12"/>
  <c r="J114" i="12"/>
  <c r="J113" i="12"/>
  <c r="J112" i="12"/>
  <c r="J111" i="12"/>
  <c r="J110" i="12"/>
  <c r="J109" i="12"/>
  <c r="J107" i="12"/>
  <c r="J106" i="12"/>
  <c r="J105" i="12"/>
  <c r="J104" i="12"/>
  <c r="J103" i="12"/>
  <c r="J102" i="12"/>
  <c r="J101" i="12"/>
  <c r="J99" i="12"/>
  <c r="J98" i="12"/>
  <c r="J96" i="12"/>
  <c r="J95" i="12"/>
  <c r="J94" i="12"/>
  <c r="J92" i="12"/>
  <c r="J91" i="12"/>
  <c r="J89" i="12"/>
  <c r="J88" i="12"/>
  <c r="J87" i="12"/>
  <c r="J86" i="12"/>
  <c r="J85" i="12"/>
  <c r="J83" i="12"/>
  <c r="J82" i="12"/>
  <c r="J81" i="12"/>
  <c r="J76" i="12"/>
  <c r="J75" i="12"/>
  <c r="J74" i="12"/>
  <c r="J73" i="12"/>
  <c r="J71" i="12"/>
  <c r="J70" i="12"/>
  <c r="J68" i="12"/>
  <c r="J67" i="12"/>
  <c r="J66" i="12"/>
  <c r="J65" i="12"/>
  <c r="J64" i="12"/>
  <c r="J63" i="12"/>
  <c r="J62" i="12"/>
  <c r="J61" i="12"/>
  <c r="J60" i="12"/>
  <c r="J59" i="12"/>
  <c r="J58" i="12"/>
  <c r="J57" i="12"/>
  <c r="J56" i="12"/>
  <c r="J55" i="12"/>
  <c r="J54" i="12"/>
  <c r="J53" i="12"/>
  <c r="J52" i="12"/>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19" i="12"/>
  <c r="J18" i="12"/>
  <c r="J17" i="12"/>
  <c r="J16" i="12"/>
  <c r="J15" i="12"/>
  <c r="J14" i="12"/>
  <c r="J12" i="12"/>
  <c r="J11" i="12"/>
  <c r="J10" i="12"/>
  <c r="J9" i="12"/>
  <c r="J8" i="12"/>
  <c r="J7" i="12"/>
  <c r="J6" i="12"/>
  <c r="J5" i="12"/>
  <c r="F7" i="11"/>
  <c r="F22" i="11"/>
  <c r="F29" i="11"/>
  <c r="F40" i="11"/>
  <c r="F53" i="11"/>
  <c r="F59" i="11"/>
  <c r="F65" i="11"/>
  <c r="F73" i="11"/>
  <c r="F79" i="11"/>
  <c r="F86" i="11"/>
  <c r="D7" i="11"/>
  <c r="D22" i="11"/>
  <c r="D29" i="11"/>
  <c r="D40" i="11"/>
  <c r="D53" i="11"/>
  <c r="D59" i="11"/>
  <c r="D65" i="11"/>
  <c r="D73" i="11"/>
  <c r="D79" i="11"/>
  <c r="D86" i="11"/>
  <c r="J86" i="11"/>
  <c r="H9" i="11"/>
  <c r="H11" i="11"/>
  <c r="H12" i="11"/>
  <c r="H13" i="11"/>
  <c r="H14" i="11"/>
  <c r="H15" i="11"/>
  <c r="H16" i="11"/>
  <c r="H18" i="11"/>
  <c r="H19" i="11"/>
  <c r="H20" i="11"/>
  <c r="H7" i="11"/>
  <c r="H25" i="11"/>
  <c r="H26" i="11"/>
  <c r="H27" i="11"/>
  <c r="H22" i="11"/>
  <c r="H31" i="11"/>
  <c r="H32" i="11"/>
  <c r="H34" i="11"/>
  <c r="H35" i="11"/>
  <c r="H36" i="11"/>
  <c r="H37" i="11"/>
  <c r="H38" i="11"/>
  <c r="H29" i="11"/>
  <c r="H42" i="11"/>
  <c r="H43" i="11"/>
  <c r="H44" i="11"/>
  <c r="H45" i="11"/>
  <c r="H46" i="11"/>
  <c r="H48" i="11"/>
  <c r="H49" i="11"/>
  <c r="H50" i="11"/>
  <c r="H51" i="11"/>
  <c r="H40" i="11"/>
  <c r="H56" i="11"/>
  <c r="H57" i="11"/>
  <c r="H53" i="11"/>
  <c r="H62" i="11"/>
  <c r="H63" i="11"/>
  <c r="H59" i="11"/>
  <c r="H68" i="11"/>
  <c r="H69" i="11"/>
  <c r="H70" i="11"/>
  <c r="H71" i="11"/>
  <c r="H65" i="11"/>
  <c r="H76" i="11"/>
  <c r="H77" i="11"/>
  <c r="H73" i="11"/>
  <c r="H82" i="11"/>
  <c r="H83" i="11"/>
  <c r="H84" i="11"/>
  <c r="H79" i="11"/>
  <c r="H86" i="11"/>
  <c r="J84" i="11"/>
  <c r="J83" i="11"/>
  <c r="J82" i="11"/>
  <c r="J79" i="11"/>
  <c r="J77" i="11"/>
  <c r="J76" i="11"/>
  <c r="J73" i="11"/>
  <c r="J71" i="11"/>
  <c r="J70" i="11"/>
  <c r="J69" i="11"/>
  <c r="J68" i="11"/>
  <c r="J65" i="11"/>
  <c r="J63" i="11"/>
  <c r="J62" i="11"/>
  <c r="J59" i="11"/>
  <c r="J57" i="11"/>
  <c r="J56" i="11"/>
  <c r="J53" i="11"/>
  <c r="J51" i="11"/>
  <c r="J50" i="11"/>
  <c r="J49" i="11"/>
  <c r="J48" i="11"/>
  <c r="J46" i="11"/>
  <c r="J45" i="11"/>
  <c r="J44" i="11"/>
  <c r="J42" i="11"/>
  <c r="J40" i="11"/>
  <c r="J38" i="11"/>
  <c r="J37" i="11"/>
  <c r="J36" i="11"/>
  <c r="J35" i="11"/>
  <c r="J34" i="11"/>
  <c r="J31" i="11"/>
  <c r="J29" i="11"/>
  <c r="J27" i="11"/>
  <c r="J26" i="11"/>
  <c r="J25" i="11"/>
  <c r="J22" i="11"/>
  <c r="J20" i="11"/>
  <c r="J19" i="11"/>
  <c r="J18" i="11"/>
  <c r="J16" i="11"/>
  <c r="J15" i="11"/>
  <c r="J14" i="11"/>
  <c r="J13" i="11"/>
  <c r="J12" i="11"/>
  <c r="J11" i="11"/>
  <c r="J9" i="11"/>
  <c r="J7" i="11"/>
  <c r="F10" i="82"/>
  <c r="F19" i="82"/>
  <c r="F22" i="82"/>
  <c r="E17" i="82"/>
  <c r="E8" i="82"/>
  <c r="K61" i="6"/>
  <c r="K24" i="6"/>
  <c r="E19" i="6"/>
  <c r="E20" i="6"/>
  <c r="E22" i="6"/>
  <c r="K36" i="6"/>
  <c r="E23" i="6"/>
  <c r="E25" i="6"/>
  <c r="E35" i="6"/>
  <c r="E37" i="6"/>
  <c r="E39" i="6"/>
  <c r="K47" i="6"/>
  <c r="E43" i="6"/>
  <c r="K54" i="6"/>
  <c r="E45" i="6"/>
  <c r="E46" i="6"/>
  <c r="E54" i="6"/>
  <c r="L61" i="6"/>
  <c r="E56" i="6"/>
  <c r="E58" i="6"/>
  <c r="K63" i="6"/>
  <c r="L50" i="6"/>
  <c r="L51" i="6"/>
  <c r="L52" i="6"/>
  <c r="L54" i="6"/>
  <c r="L42" i="6"/>
  <c r="L43" i="6"/>
  <c r="L44" i="6"/>
  <c r="L45" i="6"/>
  <c r="L46" i="6"/>
  <c r="L47" i="6"/>
  <c r="L30" i="6"/>
  <c r="L32" i="6"/>
  <c r="L33" i="6"/>
  <c r="L35" i="6"/>
  <c r="L36" i="6"/>
  <c r="I23" i="6"/>
  <c r="K19" i="6"/>
  <c r="I19" i="6"/>
  <c r="D61" i="4"/>
  <c r="D56" i="4"/>
  <c r="D49" i="4"/>
  <c r="D44" i="4"/>
  <c r="D39" i="4"/>
  <c r="D28" i="4"/>
  <c r="D22" i="4"/>
  <c r="D17" i="4"/>
  <c r="D67" i="4"/>
  <c r="D69" i="4"/>
  <c r="D143" i="4"/>
  <c r="D133" i="4"/>
  <c r="D125" i="4"/>
  <c r="D117" i="4"/>
  <c r="D109" i="4"/>
  <c r="D96" i="4"/>
  <c r="D89" i="4"/>
  <c r="D100" i="4"/>
  <c r="D81" i="4"/>
  <c r="D148" i="4"/>
  <c r="D150" i="4"/>
  <c r="D152" i="4"/>
  <c r="B61" i="4"/>
  <c r="B56" i="4"/>
  <c r="B49" i="4"/>
  <c r="B44" i="4"/>
  <c r="B39" i="4"/>
  <c r="B28" i="4"/>
  <c r="B22" i="4"/>
  <c r="B17" i="4"/>
  <c r="B67" i="4"/>
  <c r="B69" i="4"/>
  <c r="B143" i="4"/>
  <c r="B133" i="4"/>
  <c r="B125" i="4"/>
  <c r="B117" i="4"/>
  <c r="B109" i="4"/>
  <c r="B96" i="4"/>
  <c r="B89" i="4"/>
  <c r="B100" i="4"/>
  <c r="B81" i="4"/>
  <c r="B148" i="4"/>
  <c r="B150" i="4"/>
  <c r="B152" i="4"/>
  <c r="F88" i="3"/>
  <c r="F68" i="3"/>
  <c r="F32" i="3"/>
  <c r="M80" i="15"/>
  <c r="Q80" i="15"/>
  <c r="M122" i="15"/>
  <c r="Q122" i="15"/>
  <c r="O122" i="15"/>
  <c r="G93" i="15"/>
  <c r="G97" i="15"/>
  <c r="G99" i="15"/>
  <c r="G109" i="15"/>
  <c r="G116" i="15"/>
  <c r="G118" i="15"/>
  <c r="G120" i="15"/>
  <c r="K93" i="15"/>
  <c r="K97" i="15"/>
  <c r="K99" i="15"/>
  <c r="K109" i="15"/>
  <c r="K116" i="15"/>
  <c r="K118" i="15"/>
  <c r="K120" i="15"/>
  <c r="M120" i="15"/>
  <c r="Q120" i="15"/>
  <c r="O120" i="15"/>
  <c r="M118" i="15"/>
  <c r="Q118" i="15"/>
  <c r="O118" i="15"/>
  <c r="M116" i="15"/>
  <c r="Q116" i="15"/>
  <c r="O116" i="15"/>
  <c r="M115" i="15"/>
  <c r="Q115" i="15"/>
  <c r="O115" i="15"/>
  <c r="M114" i="15"/>
  <c r="O114" i="15"/>
  <c r="Q114" i="15"/>
  <c r="M113" i="15"/>
  <c r="Q113" i="15"/>
  <c r="O113" i="15"/>
  <c r="M112" i="15"/>
  <c r="O112" i="15"/>
  <c r="Q112" i="15"/>
  <c r="M111" i="15"/>
  <c r="O111" i="15"/>
  <c r="Q111" i="15"/>
  <c r="M110" i="15"/>
  <c r="Q110" i="15"/>
  <c r="O110" i="15"/>
  <c r="M109" i="15"/>
  <c r="Q109" i="15"/>
  <c r="O109" i="15"/>
  <c r="M108" i="15"/>
  <c r="O108" i="15"/>
  <c r="O107" i="15"/>
  <c r="M107" i="15"/>
  <c r="M106" i="15"/>
  <c r="Q106" i="15"/>
  <c r="O106" i="15"/>
  <c r="M103" i="15"/>
  <c r="Q103" i="15"/>
  <c r="O103" i="15"/>
  <c r="M99" i="15"/>
  <c r="Q99" i="15"/>
  <c r="O99" i="15"/>
  <c r="M97" i="15"/>
  <c r="Q97" i="15"/>
  <c r="O97" i="15"/>
  <c r="M96" i="15"/>
  <c r="Q96" i="15"/>
  <c r="O96" i="15"/>
  <c r="M93" i="15"/>
  <c r="Q93" i="15"/>
  <c r="O93" i="15"/>
  <c r="M92" i="15"/>
  <c r="Q92" i="15"/>
  <c r="M91" i="15"/>
  <c r="Q91" i="15"/>
  <c r="O91" i="15"/>
  <c r="M90" i="15"/>
  <c r="Q90" i="15"/>
  <c r="O90" i="15"/>
  <c r="M89" i="15"/>
  <c r="Q89" i="15"/>
  <c r="O89" i="15"/>
  <c r="M88" i="15"/>
  <c r="Q88" i="15"/>
  <c r="O88" i="15"/>
  <c r="G18" i="15"/>
  <c r="G21" i="15"/>
  <c r="G25" i="15"/>
  <c r="G28" i="15"/>
  <c r="E53" i="15"/>
  <c r="G55" i="15"/>
  <c r="G58" i="15"/>
  <c r="G61" i="15"/>
  <c r="G65" i="15"/>
  <c r="G79" i="15"/>
  <c r="G81" i="15"/>
  <c r="G83" i="15"/>
  <c r="K18" i="15"/>
  <c r="K21" i="15"/>
  <c r="K25" i="15"/>
  <c r="K28" i="15"/>
  <c r="I53" i="15"/>
  <c r="K55" i="15"/>
  <c r="K58" i="15"/>
  <c r="K61" i="15"/>
  <c r="K65" i="15"/>
  <c r="K79" i="15"/>
  <c r="K81" i="15"/>
  <c r="K83" i="15"/>
  <c r="M83" i="15"/>
  <c r="Q83" i="15"/>
  <c r="O83" i="15"/>
  <c r="M81" i="15"/>
  <c r="O81" i="15"/>
  <c r="Q81" i="15"/>
  <c r="O80" i="15"/>
  <c r="M79" i="15"/>
  <c r="O79" i="15"/>
  <c r="Q79" i="15"/>
  <c r="M78" i="15"/>
  <c r="Q78" i="15"/>
  <c r="O78" i="15"/>
  <c r="M77" i="15"/>
  <c r="Q77" i="15"/>
  <c r="O77" i="15"/>
  <c r="M76" i="15"/>
  <c r="Q76" i="15"/>
  <c r="O76" i="15"/>
  <c r="M75" i="15"/>
  <c r="Q75" i="15"/>
  <c r="O75" i="15"/>
  <c r="M74" i="15"/>
  <c r="O74" i="15"/>
  <c r="Q74" i="15"/>
  <c r="M65" i="15"/>
  <c r="Q65" i="15"/>
  <c r="O65" i="15"/>
  <c r="M64" i="15"/>
  <c r="Q64" i="15"/>
  <c r="O64" i="15"/>
  <c r="M63" i="15"/>
  <c r="Q63" i="15"/>
  <c r="O63" i="15"/>
  <c r="M62" i="15"/>
  <c r="O62" i="15"/>
  <c r="Q62" i="15"/>
  <c r="M61" i="15"/>
  <c r="Q61" i="15"/>
  <c r="O61" i="15"/>
  <c r="M60" i="15"/>
  <c r="Q60" i="15"/>
  <c r="O60" i="15"/>
  <c r="M59" i="15"/>
  <c r="Q59" i="15"/>
  <c r="O59" i="15"/>
  <c r="M58" i="15"/>
  <c r="O58" i="15"/>
  <c r="Q58" i="15"/>
  <c r="M57" i="15"/>
  <c r="Q57" i="15"/>
  <c r="O57" i="15"/>
  <c r="M56" i="15"/>
  <c r="Q56" i="15"/>
  <c r="O56" i="15"/>
  <c r="M55" i="15"/>
  <c r="Q55" i="15"/>
  <c r="O55" i="15"/>
  <c r="M54" i="15"/>
  <c r="Q54" i="15"/>
  <c r="O54" i="15"/>
  <c r="M53" i="15"/>
  <c r="Q53" i="15"/>
  <c r="O53" i="15"/>
  <c r="M52" i="15"/>
  <c r="Q52" i="15"/>
  <c r="M51" i="15"/>
  <c r="Q51" i="15"/>
  <c r="M50" i="15"/>
  <c r="Q50" i="15"/>
  <c r="M49" i="15"/>
  <c r="Q49" i="15"/>
  <c r="M48" i="15"/>
  <c r="Q48" i="15"/>
  <c r="O47" i="15"/>
  <c r="Q47" i="15"/>
  <c r="M46" i="15"/>
  <c r="Q46" i="15"/>
  <c r="O45" i="15"/>
  <c r="Q45" i="15"/>
  <c r="O44" i="15"/>
  <c r="Q44" i="15"/>
  <c r="M43" i="15"/>
  <c r="Q43" i="15"/>
  <c r="M42" i="15"/>
  <c r="Q42" i="15"/>
  <c r="O41" i="15"/>
  <c r="Q41" i="15"/>
  <c r="O40" i="15"/>
  <c r="Q40" i="15"/>
  <c r="M39" i="15"/>
  <c r="Q39" i="15"/>
  <c r="M38" i="15"/>
  <c r="Q38" i="15"/>
  <c r="M37" i="15"/>
  <c r="Q37" i="15"/>
  <c r="M36" i="15"/>
  <c r="Q36" i="15"/>
  <c r="M35" i="15"/>
  <c r="Q35" i="15"/>
  <c r="M34" i="15"/>
  <c r="Q34" i="15"/>
  <c r="M33" i="15"/>
  <c r="Q33" i="15"/>
  <c r="M32" i="15"/>
  <c r="Q32" i="15"/>
  <c r="M28" i="15"/>
  <c r="Q28" i="15"/>
  <c r="O28" i="15"/>
  <c r="M27" i="15"/>
  <c r="Q27" i="15"/>
  <c r="O27" i="15"/>
  <c r="M26" i="15"/>
  <c r="O26" i="15"/>
  <c r="Q26" i="15"/>
  <c r="M25" i="15"/>
  <c r="Q25" i="15"/>
  <c r="O25" i="15"/>
  <c r="O24" i="15"/>
  <c r="Q24" i="15"/>
  <c r="M24" i="15"/>
  <c r="O23" i="15"/>
  <c r="Q23" i="15"/>
  <c r="M23" i="15"/>
  <c r="M22" i="15"/>
  <c r="O22" i="15"/>
  <c r="Q22" i="15"/>
  <c r="M21" i="15"/>
  <c r="Q21" i="15"/>
  <c r="O21" i="15"/>
  <c r="M20" i="15"/>
  <c r="Q20" i="15"/>
  <c r="O20" i="15"/>
  <c r="M19" i="15"/>
  <c r="Q19" i="15"/>
  <c r="O19" i="15"/>
  <c r="M18" i="15"/>
  <c r="O18" i="15"/>
  <c r="Q18" i="15"/>
  <c r="M17" i="15"/>
  <c r="Q17" i="15"/>
  <c r="O17" i="15"/>
  <c r="M16" i="15"/>
  <c r="Q16" i="15"/>
  <c r="O16" i="15"/>
  <c r="M15" i="15"/>
  <c r="Q15" i="15"/>
  <c r="O15" i="15"/>
  <c r="M14" i="15"/>
  <c r="O14" i="15"/>
  <c r="Q14" i="15"/>
  <c r="M13" i="15"/>
  <c r="Q13" i="15"/>
  <c r="O13" i="15"/>
  <c r="E29" i="70"/>
  <c r="B22" i="70"/>
  <c r="B26" i="70"/>
  <c r="B34" i="70"/>
  <c r="C22" i="70"/>
  <c r="C34" i="70"/>
  <c r="D22" i="70"/>
  <c r="D34" i="70"/>
  <c r="E22" i="70"/>
  <c r="E26" i="70"/>
  <c r="E34" i="70"/>
  <c r="H22" i="70"/>
  <c r="H32" i="70"/>
  <c r="H34" i="70"/>
  <c r="I22" i="70"/>
  <c r="I32" i="70"/>
  <c r="I34" i="70"/>
  <c r="J22" i="70"/>
  <c r="J32" i="70"/>
  <c r="J34" i="70"/>
  <c r="G22" i="70"/>
  <c r="G30" i="70"/>
  <c r="G34" i="70"/>
  <c r="F22" i="70"/>
  <c r="F26" i="70"/>
  <c r="F34" i="70"/>
  <c r="K25" i="70"/>
  <c r="K26" i="70"/>
  <c r="K27" i="70"/>
  <c r="K28" i="70"/>
  <c r="K29" i="70"/>
  <c r="K30" i="70"/>
  <c r="K31" i="70"/>
  <c r="K32" i="70"/>
  <c r="K14" i="70"/>
  <c r="D81" i="3"/>
  <c r="D88" i="3"/>
  <c r="F90" i="3"/>
  <c r="D68" i="3"/>
  <c r="D32" i="3"/>
  <c r="F72" i="3"/>
  <c r="F74" i="3"/>
  <c r="F40" i="3"/>
  <c r="F23" i="3"/>
  <c r="F92" i="3"/>
  <c r="F42" i="3"/>
  <c r="K24" i="70"/>
  <c r="K17" i="70"/>
  <c r="K20" i="70"/>
  <c r="K18" i="70"/>
  <c r="K19" i="70"/>
  <c r="K16" i="70"/>
  <c r="K15" i="70"/>
  <c r="K13" i="70"/>
  <c r="K11" i="70"/>
  <c r="D72" i="3"/>
  <c r="D90" i="3"/>
  <c r="D40" i="3"/>
  <c r="D74" i="3"/>
  <c r="D92" i="3"/>
  <c r="D42" i="3"/>
  <c r="K22" i="70"/>
  <c r="K34" i="70"/>
</calcChain>
</file>

<file path=xl/comments1.xml><?xml version="1.0" encoding="utf-8"?>
<comments xmlns="http://schemas.openxmlformats.org/spreadsheetml/2006/main">
  <authors>
    <author>Jorge Astua Quiros</author>
    <author>Marlen Salas Guerrero</author>
  </authors>
  <commentList>
    <comment ref="A5" authorId="0" shapeId="0">
      <text>
        <r>
          <rPr>
            <b/>
            <sz val="9"/>
            <color indexed="81"/>
            <rFont val="Tahoma"/>
            <family val="2"/>
          </rPr>
          <t>Jorge Astua Quiros:</t>
        </r>
        <r>
          <rPr>
            <sz val="9"/>
            <color indexed="81"/>
            <rFont val="Tahoma"/>
            <family val="2"/>
          </rPr>
          <t xml:space="preserve">
Entidad del sector público –
Estado de situación financiera 
Al 31 -Diciembre -20X2
(miles de unidades monetarias)
Encabezado según NICSP 1- Guía de implementación</t>
        </r>
      </text>
    </comment>
    <comment ref="B31" authorId="1" shapeId="0">
      <text>
        <r>
          <rPr>
            <b/>
            <sz val="9"/>
            <color indexed="81"/>
            <rFont val="Tahoma"/>
            <family val="2"/>
          </rPr>
          <t>Marlen Salas Guerrero:</t>
        </r>
        <r>
          <rPr>
            <sz val="9"/>
            <color indexed="81"/>
            <rFont val="Tahoma"/>
            <family val="2"/>
          </rPr>
          <t xml:space="preserve">
Falta nota, consultar a Berny</t>
        </r>
      </text>
    </comment>
    <comment ref="B67" authorId="1" shapeId="0">
      <text>
        <r>
          <rPr>
            <b/>
            <sz val="9"/>
            <color indexed="81"/>
            <rFont val="Tahoma"/>
            <family val="2"/>
          </rPr>
          <t>Marlen Salas Guerrero:</t>
        </r>
        <r>
          <rPr>
            <sz val="9"/>
            <color indexed="81"/>
            <rFont val="Tahoma"/>
            <family val="2"/>
          </rPr>
          <t xml:space="preserve">
Falta nota</t>
        </r>
      </text>
    </comment>
  </commentList>
</comments>
</file>

<file path=xl/comments2.xml><?xml version="1.0" encoding="utf-8"?>
<comments xmlns="http://schemas.openxmlformats.org/spreadsheetml/2006/main">
  <authors>
    <author>Jorge Astua Quiros</author>
  </authors>
  <commentList>
    <comment ref="A5" authorId="0" shapeId="0">
      <text>
        <r>
          <rPr>
            <b/>
            <sz val="9"/>
            <color indexed="81"/>
            <rFont val="Tahoma"/>
            <family val="2"/>
          </rPr>
          <t>Jorge Astua Quiros:</t>
        </r>
        <r>
          <rPr>
            <sz val="9"/>
            <color indexed="81"/>
            <rFont val="Tahoma"/>
            <family val="2"/>
          </rPr>
          <t xml:space="preserve">
Entidad del sector público –
Estado de rendimiento financiero del ejercicio 
terminado a 31 de diciembre de 20X2
(Ilustración de la clasificación de gastos por función)
(miles de unidades monetarias)
Encabezado según NICSP 1- Guía de implementación</t>
        </r>
      </text>
    </comment>
  </commentList>
</comments>
</file>

<file path=xl/comments3.xml><?xml version="1.0" encoding="utf-8"?>
<comments xmlns="http://schemas.openxmlformats.org/spreadsheetml/2006/main">
  <authors>
    <author>Karla Monge Martinez</author>
  </authors>
  <commentList>
    <comment ref="C169" authorId="0" shapeId="0">
      <text>
        <r>
          <rPr>
            <b/>
            <sz val="9"/>
            <color indexed="81"/>
            <rFont val="Tahoma"/>
            <family val="2"/>
          </rPr>
          <t>Karla Monge Martinez:</t>
        </r>
        <r>
          <rPr>
            <sz val="9"/>
            <color indexed="81"/>
            <rFont val="Tahoma"/>
            <family val="2"/>
          </rPr>
          <t xml:space="preserve">
SE AJUSTA EL GLOBAL DE INV POR LA SUMA DE ¢13,497,206,40 QUE ES EL MONTO QUE SE AJUSTARÁ POR LOS DPS MAL INCLUIDOS QUE CORRESPONDÍAN A FDI</t>
        </r>
      </text>
    </comment>
  </commentList>
</comments>
</file>

<file path=xl/comments4.xml><?xml version="1.0" encoding="utf-8"?>
<comments xmlns="http://schemas.openxmlformats.org/spreadsheetml/2006/main">
  <authors>
    <author>dfernandez</author>
    <author>Silvia Soto Arce</author>
  </authors>
  <commentList>
    <comment ref="A15" authorId="0" shapeId="0">
      <text>
        <r>
          <rPr>
            <b/>
            <sz val="8"/>
            <color indexed="81"/>
            <rFont val="Tahoma"/>
            <family val="2"/>
          </rPr>
          <t>Cta: 01-002-xxx (F50RE100)</t>
        </r>
      </text>
    </comment>
    <comment ref="A18" authorId="0" shapeId="0">
      <text>
        <r>
          <rPr>
            <b/>
            <sz val="8"/>
            <color indexed="81"/>
            <rFont val="Tahoma"/>
            <family val="2"/>
          </rPr>
          <t>Cta: 01-001-xxx (F50RE100)</t>
        </r>
      </text>
    </comment>
    <comment ref="A22" authorId="0" shapeId="0">
      <text>
        <r>
          <rPr>
            <b/>
            <sz val="8"/>
            <color indexed="81"/>
            <rFont val="Tahoma"/>
            <family val="2"/>
          </rPr>
          <t>Cta: 02-001-xxx (F50RE100)</t>
        </r>
      </text>
    </comment>
    <comment ref="A23" authorId="0" shapeId="0">
      <text>
        <r>
          <rPr>
            <b/>
            <sz val="8"/>
            <color indexed="81"/>
            <rFont val="Tahoma"/>
            <family val="2"/>
          </rPr>
          <t>Cta: 02-004-xxx (F50RE100)</t>
        </r>
      </text>
    </comment>
    <comment ref="A32" authorId="0" shapeId="0">
      <text>
        <r>
          <rPr>
            <b/>
            <sz val="8"/>
            <color indexed="81"/>
            <rFont val="Tahoma"/>
            <family val="2"/>
          </rPr>
          <t>Cta: 04-004-002 (F50RE100)</t>
        </r>
      </text>
    </comment>
    <comment ref="A33" authorId="0" shapeId="0">
      <text>
        <r>
          <rPr>
            <b/>
            <sz val="8"/>
            <color indexed="81"/>
            <rFont val="Tahoma"/>
            <family val="2"/>
          </rPr>
          <t>Cta: 04-004-003 (F50RE100)</t>
        </r>
      </text>
    </comment>
    <comment ref="A36" authorId="0" shapeId="0">
      <text>
        <r>
          <rPr>
            <b/>
            <sz val="8"/>
            <color indexed="81"/>
            <rFont val="Tahoma"/>
            <family val="2"/>
          </rPr>
          <t>Cta: 04-041-xxx (F50RE100)</t>
        </r>
      </text>
    </comment>
    <comment ref="A43" authorId="0" shapeId="0">
      <text>
        <r>
          <rPr>
            <b/>
            <sz val="8"/>
            <color indexed="81"/>
            <rFont val="Tahoma"/>
            <family val="2"/>
          </rPr>
          <t>Cta: 04-005-018
        04-005-019 (F50RE100)</t>
        </r>
      </text>
    </comment>
    <comment ref="A48" authorId="0" shapeId="0">
      <text>
        <r>
          <rPr>
            <b/>
            <sz val="8"/>
            <color indexed="81"/>
            <rFont val="Tahoma"/>
            <family val="2"/>
          </rPr>
          <t>Cta: 04-005-002 (F50RE100)</t>
        </r>
      </text>
    </comment>
    <comment ref="A51" authorId="0" shapeId="0">
      <text>
        <r>
          <rPr>
            <b/>
            <sz val="8"/>
            <color indexed="81"/>
            <rFont val="Tahoma"/>
            <family val="2"/>
          </rPr>
          <t>Cta: 04-005-023 (F50RE100)
04-005-031</t>
        </r>
      </text>
    </comment>
    <comment ref="A54" authorId="0" shapeId="0">
      <text>
        <r>
          <rPr>
            <b/>
            <sz val="8"/>
            <color indexed="81"/>
            <rFont val="Tahoma"/>
            <family val="2"/>
          </rPr>
          <t>Cta: 04-005-004 (F50RE100)</t>
        </r>
      </text>
    </comment>
    <comment ref="A55" authorId="0" shapeId="0">
      <text>
        <r>
          <rPr>
            <b/>
            <sz val="8"/>
            <color indexed="81"/>
            <rFont val="Tahoma"/>
            <family val="2"/>
          </rPr>
          <t>Cta: 04-005-005 (F50RE100)</t>
        </r>
      </text>
    </comment>
    <comment ref="A56" authorId="0" shapeId="0">
      <text>
        <r>
          <rPr>
            <b/>
            <sz val="8"/>
            <color indexed="81"/>
            <rFont val="Tahoma"/>
            <family val="2"/>
          </rPr>
          <t>Cta: 04-005-009 (F50RE100)
        Otras Ctas 04-005-xxx</t>
        </r>
      </text>
    </comment>
    <comment ref="A57" authorId="0" shapeId="0">
      <text>
        <r>
          <rPr>
            <b/>
            <sz val="8"/>
            <color indexed="81"/>
            <rFont val="Tahoma"/>
            <family val="2"/>
          </rPr>
          <t>Cta: 04-040-xxx (F50RE130)</t>
        </r>
      </text>
    </comment>
    <comment ref="A58" authorId="0" shapeId="0">
      <text>
        <r>
          <rPr>
            <b/>
            <sz val="8"/>
            <color indexed="81"/>
            <rFont val="Tahoma"/>
            <family val="2"/>
          </rPr>
          <t>Cta: 04-006-xxx (F50RE100)</t>
        </r>
      </text>
    </comment>
    <comment ref="A69" authorId="0" shapeId="0">
      <text>
        <r>
          <rPr>
            <b/>
            <sz val="8"/>
            <color indexed="81"/>
            <rFont val="Tahoma"/>
            <family val="2"/>
          </rPr>
          <t>Cta: 06-001-xxx (F50RE100)</t>
        </r>
      </text>
    </comment>
    <comment ref="A70" authorId="0" shapeId="0">
      <text>
        <r>
          <rPr>
            <b/>
            <sz val="8"/>
            <color indexed="81"/>
            <rFont val="Tahoma"/>
            <family val="2"/>
          </rPr>
          <t>Cta: 06-002-xxx (F50RE100)</t>
        </r>
      </text>
    </comment>
    <comment ref="A71" authorId="0" shapeId="0">
      <text>
        <r>
          <rPr>
            <b/>
            <sz val="8"/>
            <color indexed="81"/>
            <rFont val="Tahoma"/>
            <family val="2"/>
          </rPr>
          <t>Cta: 06-003-xxx (F50RE100)</t>
        </r>
      </text>
    </comment>
    <comment ref="A72" authorId="0" shapeId="0">
      <text>
        <r>
          <rPr>
            <b/>
            <sz val="8"/>
            <color indexed="81"/>
            <rFont val="Tahoma"/>
            <family val="2"/>
          </rPr>
          <t>Cta: 06-004-xxx (F50RE100)</t>
        </r>
      </text>
    </comment>
    <comment ref="A73" authorId="0" shapeId="0">
      <text>
        <r>
          <rPr>
            <b/>
            <sz val="8"/>
            <color indexed="81"/>
            <rFont val="Tahoma"/>
            <family val="2"/>
          </rPr>
          <t>Cta: 06-005-xxx (F50RE100)</t>
        </r>
      </text>
    </comment>
    <comment ref="A74" authorId="0" shapeId="0">
      <text>
        <r>
          <rPr>
            <b/>
            <sz val="8"/>
            <color indexed="81"/>
            <rFont val="Tahoma"/>
            <family val="2"/>
          </rPr>
          <t>Cta: 06-006-xxx (F50RE100)</t>
        </r>
      </text>
    </comment>
    <comment ref="A75" authorId="0" shapeId="0">
      <text>
        <r>
          <rPr>
            <b/>
            <sz val="8"/>
            <color indexed="81"/>
            <rFont val="Tahoma"/>
            <family val="2"/>
          </rPr>
          <t>Cta: 06-007-xxx
        06-008-xxx (F50RE130)
        Sección: 6 y 7</t>
        </r>
      </text>
    </comment>
    <comment ref="A76" authorId="0" shapeId="0">
      <text>
        <r>
          <rPr>
            <b/>
            <sz val="8"/>
            <color indexed="81"/>
            <rFont val="Tahoma"/>
            <family val="2"/>
          </rPr>
          <t>Cta: 06-009-xxx (F50RE100)</t>
        </r>
      </text>
    </comment>
    <comment ref="A77" authorId="0" shapeId="0">
      <text>
        <r>
          <rPr>
            <b/>
            <sz val="8"/>
            <color indexed="81"/>
            <rFont val="Tahoma"/>
            <family val="2"/>
          </rPr>
          <t>Cta: 06-011-xxx (F50RE100)</t>
        </r>
      </text>
    </comment>
    <comment ref="A78" authorId="0" shapeId="0">
      <text>
        <r>
          <rPr>
            <b/>
            <sz val="8"/>
            <color indexed="81"/>
            <rFont val="Tahoma"/>
            <family val="2"/>
          </rPr>
          <t>Cta: 06-013-xxx (F50RE100)</t>
        </r>
      </text>
    </comment>
    <comment ref="A79" authorId="0" shapeId="0">
      <text>
        <r>
          <rPr>
            <b/>
            <sz val="8"/>
            <color indexed="81"/>
            <rFont val="Tahoma"/>
            <family val="2"/>
          </rPr>
          <t xml:space="preserve">Cta: 06-020-xxx 
        (F50RE130)
       </t>
        </r>
      </text>
    </comment>
    <comment ref="A80" authorId="0" shapeId="0">
      <text>
        <r>
          <rPr>
            <b/>
            <sz val="8"/>
            <color indexed="81"/>
            <rFont val="Tahoma"/>
            <family val="2"/>
          </rPr>
          <t>Cta: 06-010-xxx (F50RE100)</t>
        </r>
      </text>
    </comment>
    <comment ref="A81" authorId="0" shapeId="0">
      <text>
        <r>
          <rPr>
            <b/>
            <sz val="8"/>
            <color indexed="81"/>
            <rFont val="Tahoma"/>
            <family val="2"/>
          </rPr>
          <t>Cta: 06-015-xxx (F50RE100)</t>
        </r>
      </text>
    </comment>
    <comment ref="A82" authorId="1" shapeId="0">
      <text>
        <r>
          <rPr>
            <b/>
            <sz val="9"/>
            <color indexed="81"/>
            <rFont val="Tahoma"/>
            <family val="2"/>
          </rPr>
          <t>Silvia Soto Arce:</t>
        </r>
        <r>
          <rPr>
            <sz val="9"/>
            <color indexed="81"/>
            <rFont val="Tahoma"/>
            <family val="2"/>
          </rPr>
          <t xml:space="preserve">
Cta. 06-017 Rep. 100</t>
        </r>
      </text>
    </comment>
    <comment ref="A88" authorId="0" shapeId="0">
      <text>
        <r>
          <rPr>
            <b/>
            <sz val="8"/>
            <color indexed="81"/>
            <rFont val="Tahoma"/>
            <family val="2"/>
          </rPr>
          <t>Cta: 05-003-xxx (F50RE100)</t>
        </r>
      </text>
    </comment>
    <comment ref="A91" authorId="0" shapeId="0">
      <text>
        <r>
          <rPr>
            <b/>
            <sz val="8"/>
            <color indexed="81"/>
            <rFont val="Tahoma"/>
            <family val="2"/>
          </rPr>
          <t>Cta: 05-002-xxx (F50RE100)</t>
        </r>
      </text>
    </comment>
    <comment ref="A94" authorId="0" shapeId="0">
      <text>
        <r>
          <rPr>
            <b/>
            <sz val="8"/>
            <color indexed="81"/>
            <rFont val="Tahoma"/>
            <family val="2"/>
          </rPr>
          <t>Cta: 05-010-xxx (F50RE100)</t>
        </r>
      </text>
    </comment>
    <comment ref="A95" authorId="0" shapeId="0">
      <text>
        <r>
          <rPr>
            <b/>
            <sz val="8"/>
            <color indexed="81"/>
            <rFont val="Tahoma"/>
            <family val="2"/>
          </rPr>
          <t>Cta: 05-016-xxx 
        05-017-xxx (F50RE100)
        Revisar Otras Cuentas</t>
        </r>
      </text>
    </comment>
    <comment ref="A101" authorId="0" shapeId="0">
      <text>
        <r>
          <rPr>
            <b/>
            <sz val="8"/>
            <color indexed="81"/>
            <rFont val="Tahoma"/>
            <family val="2"/>
          </rPr>
          <t>Cta: 07-001-xxx (F50RE100)</t>
        </r>
      </text>
    </comment>
    <comment ref="A102" authorId="0" shapeId="0">
      <text>
        <r>
          <rPr>
            <b/>
            <sz val="8"/>
            <color indexed="81"/>
            <rFont val="Tahoma"/>
            <family val="2"/>
          </rPr>
          <t>Cta: 07-002-xxx (F50RE100)</t>
        </r>
      </text>
    </comment>
    <comment ref="A108" authorId="0" shapeId="0">
      <text>
        <r>
          <rPr>
            <b/>
            <sz val="8"/>
            <color indexed="81"/>
            <rFont val="Tahoma"/>
            <family val="2"/>
          </rPr>
          <t>Cta: 08-004-xxx (F50RE100)</t>
        </r>
      </text>
    </comment>
    <comment ref="A109" authorId="0" shapeId="0">
      <text>
        <r>
          <rPr>
            <b/>
            <sz val="8"/>
            <color indexed="81"/>
            <rFont val="Tahoma"/>
            <family val="2"/>
          </rPr>
          <t>Cta: 08-006-xxx (F50RE100)</t>
        </r>
      </text>
    </comment>
    <comment ref="A110" authorId="0" shapeId="0">
      <text>
        <r>
          <rPr>
            <b/>
            <sz val="8"/>
            <color indexed="81"/>
            <rFont val="Tahoma"/>
            <family val="2"/>
          </rPr>
          <t>Cta: 08-011-xxx (F50RE100)</t>
        </r>
      </text>
    </comment>
    <comment ref="A111" authorId="1" shapeId="0">
      <text>
        <r>
          <rPr>
            <b/>
            <sz val="9"/>
            <color indexed="81"/>
            <rFont val="Tahoma"/>
            <family val="2"/>
          </rPr>
          <t>Silvia Soto Arce:</t>
        </r>
        <r>
          <rPr>
            <sz val="9"/>
            <color indexed="81"/>
            <rFont val="Tahoma"/>
            <family val="2"/>
          </rPr>
          <t xml:space="preserve">
Cta. 08-012 Rep. 100
       08-013</t>
        </r>
      </text>
    </comment>
    <comment ref="A112" authorId="0" shapeId="0">
      <text>
        <r>
          <rPr>
            <b/>
            <sz val="8"/>
            <color indexed="81"/>
            <rFont val="Tahoma"/>
            <family val="2"/>
          </rPr>
          <t>Cta: 08-009-xxx (F50RE100)</t>
        </r>
      </text>
    </comment>
    <comment ref="A115" authorId="0" shapeId="0">
      <text>
        <r>
          <rPr>
            <b/>
            <sz val="8"/>
            <color indexed="81"/>
            <rFont val="Tahoma"/>
            <family val="2"/>
          </rPr>
          <t>Cta: 03-001-xxx (F50RE100)</t>
        </r>
      </text>
    </comment>
    <comment ref="A120" authorId="0" shapeId="0">
      <text>
        <r>
          <rPr>
            <b/>
            <sz val="8"/>
            <color indexed="81"/>
            <rFont val="Tahoma"/>
            <family val="2"/>
          </rPr>
          <t>Cta: 09-xxx-xxx (F50RE100 x Subrenglón)
Además:
Detallar la Institución Fuente para que sea Incluido en SIPP como Transferencias de Ingresos.</t>
        </r>
      </text>
    </comment>
    <comment ref="A121" authorId="0" shapeId="0">
      <text>
        <r>
          <rPr>
            <b/>
            <sz val="8"/>
            <color indexed="81"/>
            <rFont val="Tahoma"/>
            <family val="2"/>
          </rPr>
          <t>Cta: 09-063 y 064-xxx (F50RE100 x Subrenglón)
Además:
Detallar la Institución Fuente para que sea Incluido en SIPP como Transferencias de Ingresos.</t>
        </r>
      </text>
    </comment>
    <comment ref="A122" authorId="0" shapeId="0">
      <text>
        <r>
          <rPr>
            <b/>
            <sz val="8"/>
            <color indexed="81"/>
            <rFont val="Tahoma"/>
            <family val="2"/>
          </rPr>
          <t>Cta: 10-xxx-xxx (F50RE100 x Subrenglón)
Además:
Detallar la Institución Fuente para que sea Incluido en SIPP como Transferencias de Ingresos.</t>
        </r>
      </text>
    </comment>
    <comment ref="A123" authorId="0" shapeId="0">
      <text>
        <r>
          <rPr>
            <b/>
            <sz val="8"/>
            <color indexed="81"/>
            <rFont val="Tahoma"/>
            <family val="2"/>
          </rPr>
          <t>Cta: 10-xxx-xxx (F50RE100 x Subrenglón)
Además:
Detallar la Institución Fuente para que sea Incluido en SIPP como Transferencias de Ingresos.</t>
        </r>
      </text>
    </comment>
    <comment ref="A124" authorId="0" shapeId="0">
      <text>
        <r>
          <rPr>
            <b/>
            <sz val="8"/>
            <color indexed="81"/>
            <rFont val="Tahoma"/>
            <family val="2"/>
          </rPr>
          <t xml:space="preserve">Cta: 12-xxx-xxx (F50RE100)
</t>
        </r>
      </text>
    </comment>
    <comment ref="A127" authorId="0" shapeId="0">
      <text>
        <r>
          <rPr>
            <b/>
            <sz val="8"/>
            <color indexed="81"/>
            <rFont val="Tahoma"/>
            <family val="2"/>
          </rPr>
          <t xml:space="preserve">Cta: 11-xxx-xxx (F50RE100)
</t>
        </r>
      </text>
    </comment>
    <comment ref="A134" authorId="0" shapeId="0">
      <text>
        <r>
          <rPr>
            <b/>
            <sz val="8"/>
            <color indexed="81"/>
            <rFont val="Tahoma"/>
            <family val="2"/>
          </rPr>
          <t>Cta: 14 (F50RE100)</t>
        </r>
      </text>
    </comment>
    <comment ref="A142" authorId="0" shapeId="0">
      <text>
        <r>
          <rPr>
            <b/>
            <sz val="8"/>
            <color indexed="81"/>
            <rFont val="Tahoma"/>
            <family val="2"/>
          </rPr>
          <t>Cta: 15-001-001 (F50RE100)</t>
        </r>
      </text>
    </comment>
    <comment ref="A143" authorId="0" shapeId="0">
      <text>
        <r>
          <rPr>
            <b/>
            <sz val="8"/>
            <color indexed="81"/>
            <rFont val="Tahoma"/>
            <family val="2"/>
          </rPr>
          <t>Cta: 15-020 (F50RE100)</t>
        </r>
      </text>
    </comment>
    <comment ref="A148" authorId="0" shapeId="0">
      <text>
        <r>
          <rPr>
            <b/>
            <sz val="8"/>
            <color indexed="81"/>
            <rFont val="Tahoma"/>
            <family val="2"/>
          </rPr>
          <t>Cta: 15-xxx-xxx (F50RE130)
        Sección: 5</t>
        </r>
      </text>
    </comment>
    <comment ref="A149" authorId="0" shapeId="0">
      <text>
        <r>
          <rPr>
            <b/>
            <sz val="8"/>
            <color indexed="81"/>
            <rFont val="Tahoma"/>
            <family val="2"/>
          </rPr>
          <t>Cta: 15-xxx-xxx (F50RE130)
        Sección: 8</t>
        </r>
      </text>
    </comment>
    <comment ref="A150" authorId="0" shapeId="0">
      <text>
        <r>
          <rPr>
            <b/>
            <sz val="8"/>
            <color indexed="81"/>
            <rFont val="Tahoma"/>
            <family val="2"/>
          </rPr>
          <t>Cta: 15-xxx-xxx (F50RE130)
        Sección: 9</t>
        </r>
      </text>
    </comment>
    <comment ref="A151" authorId="1" shapeId="0">
      <text>
        <r>
          <rPr>
            <b/>
            <sz val="9"/>
            <color indexed="81"/>
            <rFont val="Tahoma"/>
            <family val="2"/>
          </rPr>
          <t>Silvia Soto Arce:</t>
        </r>
        <r>
          <rPr>
            <sz val="9"/>
            <color indexed="81"/>
            <rFont val="Tahoma"/>
            <family val="2"/>
          </rPr>
          <t xml:space="preserve">
CTA. 15 Sección 10</t>
        </r>
      </text>
    </comment>
    <comment ref="A153" authorId="0" shapeId="0">
      <text>
        <r>
          <rPr>
            <b/>
            <sz val="8"/>
            <color indexed="81"/>
            <rFont val="Tahoma"/>
            <family val="2"/>
          </rPr>
          <t>Cta: 15-xxx-xxx (F50RE130)
        Sección: 2</t>
        </r>
      </text>
    </comment>
    <comment ref="A156" authorId="0" shapeId="0">
      <text>
        <r>
          <rPr>
            <b/>
            <sz val="8"/>
            <color indexed="81"/>
            <rFont val="Tahoma"/>
            <family val="2"/>
          </rPr>
          <t>Cta: 15-xxx-xxx (F50RE130)
        Sección: 6</t>
        </r>
      </text>
    </comment>
    <comment ref="A157" authorId="0" shapeId="0">
      <text>
        <r>
          <rPr>
            <b/>
            <sz val="8"/>
            <color indexed="81"/>
            <rFont val="Tahoma"/>
            <family val="2"/>
          </rPr>
          <t>Cta: 15-xxx-xxx (F50RE130)
        Sección: 7</t>
        </r>
      </text>
    </comment>
    <comment ref="A159" authorId="0" shapeId="0">
      <text>
        <r>
          <rPr>
            <b/>
            <sz val="8"/>
            <color indexed="81"/>
            <rFont val="Tahoma"/>
            <family val="2"/>
          </rPr>
          <t>Cta: 15-001-002 (F50RE100)</t>
        </r>
      </text>
    </comment>
    <comment ref="A160" authorId="0" shapeId="0">
      <text>
        <r>
          <rPr>
            <b/>
            <sz val="8"/>
            <color indexed="81"/>
            <rFont val="Tahoma"/>
            <family val="2"/>
          </rPr>
          <t>Cta: 15-001-005 (F50RE100)</t>
        </r>
      </text>
    </comment>
    <comment ref="A161" authorId="0" shapeId="0">
      <text>
        <r>
          <rPr>
            <b/>
            <sz val="8"/>
            <color indexed="81"/>
            <rFont val="Tahoma"/>
            <family val="2"/>
          </rPr>
          <t>Cta: 15-001-011 a la 
        15-001-021 (F50RE100)</t>
        </r>
      </text>
    </comment>
    <comment ref="A162" authorId="0" shapeId="0">
      <text>
        <r>
          <rPr>
            <b/>
            <sz val="8"/>
            <color indexed="81"/>
            <rFont val="Tahoma"/>
            <family val="2"/>
          </rPr>
          <t>Cta: 15-001-023 (F50RE100)</t>
        </r>
      </text>
    </comment>
    <comment ref="A163" authorId="0" shapeId="0">
      <text>
        <r>
          <rPr>
            <b/>
            <sz val="8"/>
            <color indexed="81"/>
            <rFont val="Tahoma"/>
            <family val="2"/>
          </rPr>
          <t>Cta: 15-011-001 (F50RE100)</t>
        </r>
      </text>
    </comment>
  </commentList>
</comments>
</file>

<file path=xl/comments5.xml><?xml version="1.0" encoding="utf-8"?>
<comments xmlns="http://schemas.openxmlformats.org/spreadsheetml/2006/main">
  <authors>
    <author>JEFATURA</author>
    <author>Denia Stephania Salazar Chinchilla</author>
  </authors>
  <commentList>
    <comment ref="I7" authorId="0" shapeId="0">
      <text>
        <r>
          <rPr>
            <b/>
            <sz val="9"/>
            <color indexed="81"/>
            <rFont val="Tahoma"/>
            <family val="2"/>
          </rPr>
          <t>JEFATURA:</t>
        </r>
        <r>
          <rPr>
            <sz val="9"/>
            <color indexed="81"/>
            <rFont val="Tahoma"/>
            <family val="2"/>
          </rPr>
          <t xml:space="preserve">
Presupuesto en Ordenes de reserva (OCR)
</t>
        </r>
      </text>
    </comment>
    <comment ref="J7" authorId="0" shapeId="0">
      <text>
        <r>
          <rPr>
            <b/>
            <sz val="9"/>
            <color indexed="81"/>
            <rFont val="Tahoma"/>
            <family val="2"/>
          </rPr>
          <t>JEFATURA:</t>
        </r>
        <r>
          <rPr>
            <sz val="9"/>
            <color indexed="81"/>
            <rFont val="Tahoma"/>
            <family val="2"/>
          </rPr>
          <t xml:space="preserve">
Se considera el presupuesto adjudicado, mas el reservado en reajustes.</t>
        </r>
      </text>
    </comment>
    <comment ref="F15" authorId="1" shapeId="0">
      <text>
        <r>
          <rPr>
            <b/>
            <sz val="9"/>
            <color indexed="81"/>
            <rFont val="Tahoma"/>
            <family val="2"/>
          </rPr>
          <t>Denia Stephania Salazar Chinchilla:</t>
        </r>
        <r>
          <rPr>
            <sz val="9"/>
            <color indexed="81"/>
            <rFont val="Tahoma"/>
            <family val="2"/>
          </rPr>
          <t xml:space="preserve">
Área nueva: 2000 área a remodelar 1000.
</t>
        </r>
      </text>
    </comment>
    <comment ref="I47" authorId="0" shapeId="0">
      <text>
        <r>
          <rPr>
            <b/>
            <sz val="9"/>
            <color indexed="81"/>
            <rFont val="Tahoma"/>
            <family val="2"/>
          </rPr>
          <t>JEFATURA:</t>
        </r>
        <r>
          <rPr>
            <sz val="9"/>
            <color indexed="81"/>
            <rFont val="Tahoma"/>
            <family val="2"/>
          </rPr>
          <t xml:space="preserve">
Presupuesto en Ordenes de reserva (OCR)
</t>
        </r>
      </text>
    </comment>
  </commentList>
</comments>
</file>

<file path=xl/comments6.xml><?xml version="1.0" encoding="utf-8"?>
<comments xmlns="http://schemas.openxmlformats.org/spreadsheetml/2006/main">
  <authors>
    <author>Denia Stephania Salazar Chinchilla</author>
  </authors>
  <commentList>
    <comment ref="F24" authorId="0" shapeId="0">
      <text>
        <r>
          <rPr>
            <b/>
            <sz val="9"/>
            <color indexed="81"/>
            <rFont val="Tahoma"/>
            <family val="2"/>
          </rPr>
          <t>Denia Stephania Salazar Chinchilla:</t>
        </r>
        <r>
          <rPr>
            <sz val="9"/>
            <color indexed="81"/>
            <rFont val="Tahoma"/>
            <family val="2"/>
          </rPr>
          <t xml:space="preserve">
El proyecto consiste en la instalación de un elevador, por tanto, el área no aplica</t>
        </r>
      </text>
    </comment>
  </commentList>
</comments>
</file>

<file path=xl/comments7.xml><?xml version="1.0" encoding="utf-8"?>
<comments xmlns="http://schemas.openxmlformats.org/spreadsheetml/2006/main">
  <authors>
    <author>JEFATURA</author>
  </authors>
  <commentList>
    <comment ref="F119" authorId="0" shapeId="0">
      <text>
        <r>
          <rPr>
            <b/>
            <sz val="9"/>
            <color indexed="81"/>
            <rFont val="Tahoma"/>
            <family val="2"/>
          </rPr>
          <t>JEFATURA:</t>
        </r>
        <r>
          <rPr>
            <sz val="9"/>
            <color indexed="81"/>
            <rFont val="Tahoma"/>
            <family val="2"/>
          </rPr>
          <t xml:space="preserve">
Revisado en el finiquito el proyecto indica menos área a la estimada. Preguntar a Wendy
</t>
        </r>
      </text>
    </comment>
  </commentList>
</comments>
</file>

<file path=xl/connections.xml><?xml version="1.0" encoding="utf-8"?>
<connections xmlns="http://schemas.openxmlformats.org/spreadsheetml/2006/main">
  <connection id="1" name="Conexión" type="4" refreshedVersion="2" background="1" saveData="1">
    <webPr sourceData="1" parsePre="1" consecutive="1" xl2000="1" url="file:///C:/A/TRABAJO/F50RE180.htm"/>
  </connection>
  <connection id="2" name="Conexión1" type="4" refreshedVersion="2" background="1" saveData="1">
    <webPr sourceData="1" parsePre="1" consecutive="1" xl2000="1" url="file:///C:/A/TRABAJO/F50RE180.htm"/>
  </connection>
</connections>
</file>

<file path=xl/sharedStrings.xml><?xml version="1.0" encoding="utf-8"?>
<sst xmlns="http://schemas.openxmlformats.org/spreadsheetml/2006/main" count="6145" uniqueCount="4196">
  <si>
    <t>ESCUELA ORIENTACION Y EDUCACION ESPECIAL</t>
  </si>
  <si>
    <t>ESCUELA EDUCACION FISICA Y DEPORTES</t>
  </si>
  <si>
    <t>ESCUELA BIBLIOTECOLOGIA Y CIENCIA INFORM</t>
  </si>
  <si>
    <t>Cuenta</t>
  </si>
  <si>
    <t>0 a 3 meses</t>
  </si>
  <si>
    <t>3 a 6 meses</t>
  </si>
  <si>
    <t>Recuperación de cuotas obrero patronales</t>
  </si>
  <si>
    <t>SERVICIOS APOYO VICERRECTORIA INVESTIGAC</t>
  </si>
  <si>
    <t>CTRO INV. ELECTROQUIM. Y ENERGIA QUIMICA</t>
  </si>
  <si>
    <t>CENTRO INVEST. EN ESTUDIOS DE LA MUJER</t>
  </si>
  <si>
    <t>FONDO ESPECIAL F.D.I. (INVESTIG. -F.R.)</t>
  </si>
  <si>
    <t>GLOBAL INVESTIGACION (F.R.)</t>
  </si>
  <si>
    <t>CONSTRUCCION DEL TEATRO UNIVERSITARIO</t>
  </si>
  <si>
    <t>INST. DEP. SEDE REGIONAL DE GUANACASTE</t>
  </si>
  <si>
    <t>RECINTO DE PARAISO PROGRAMA ODONTOLOGIA</t>
  </si>
  <si>
    <t>03-97-03-43</t>
  </si>
  <si>
    <t>ETAPA BASICA DE MUSICA SEDE OCCIDENTE</t>
  </si>
  <si>
    <t>Servicios</t>
  </si>
  <si>
    <t>Materiales y Suministros</t>
  </si>
  <si>
    <t>Adquisicion De Libros</t>
  </si>
  <si>
    <t>Mobiliario Y Equipo De Computacion</t>
  </si>
  <si>
    <t>01-05-02-04</t>
  </si>
  <si>
    <t>01-05-02-07</t>
  </si>
  <si>
    <t>01-05-02-08</t>
  </si>
  <si>
    <t>01-05-03</t>
  </si>
  <si>
    <t>01-05-04</t>
  </si>
  <si>
    <t>01-05-05</t>
  </si>
  <si>
    <t>01-06</t>
  </si>
  <si>
    <t>01-06-03</t>
  </si>
  <si>
    <t>01-06-03-02</t>
  </si>
  <si>
    <t>MAESTRIA PROFESIONAL EN RECREACION</t>
  </si>
  <si>
    <t>POSGRADO EN ORIENTACION</t>
  </si>
  <si>
    <t>MAESTRIA EN CIENCIAS PENALES</t>
  </si>
  <si>
    <t>UNIDAD EJECUTORA</t>
  </si>
  <si>
    <t xml:space="preserve">PRESUPUESTO </t>
  </si>
  <si>
    <t xml:space="preserve">DISPONIBLE </t>
  </si>
  <si>
    <t>03-03-02-02</t>
  </si>
  <si>
    <t>03-03-02-05</t>
  </si>
  <si>
    <t>03-03-03</t>
  </si>
  <si>
    <t>Efectivo</t>
  </si>
  <si>
    <t>Deprec.Acum.Mobi.Equi.Maq.Veh.</t>
  </si>
  <si>
    <t>Deprec.Acum.instalaciones</t>
  </si>
  <si>
    <t>Deprec. Acumulada Edificios</t>
  </si>
  <si>
    <t>Mobiliario y Equipo de Computación</t>
  </si>
  <si>
    <t>03-97-03-32</t>
  </si>
  <si>
    <t>02-02-30</t>
  </si>
  <si>
    <t>03-03-06</t>
  </si>
  <si>
    <t>04-07</t>
  </si>
  <si>
    <t>04-08</t>
  </si>
  <si>
    <t>04-09</t>
  </si>
  <si>
    <t xml:space="preserve"> Desarrollo Regional</t>
  </si>
  <si>
    <t>TOTAL EMPRESAS AUXILIARES</t>
  </si>
  <si>
    <t>CUENTA</t>
  </si>
  <si>
    <t>TOTALES</t>
  </si>
  <si>
    <t>07-02-01-05</t>
  </si>
  <si>
    <t>07-02-02</t>
  </si>
  <si>
    <t>07-02-02-01</t>
  </si>
  <si>
    <t>07-02-02-02</t>
  </si>
  <si>
    <t>07-03</t>
  </si>
  <si>
    <t>07-03-01</t>
  </si>
  <si>
    <t>07-03-01-01</t>
  </si>
  <si>
    <t>07-03-01-02</t>
  </si>
  <si>
    <t>07-03-01-03</t>
  </si>
  <si>
    <t>07-03-01-04</t>
  </si>
  <si>
    <t>07-03-01-05</t>
  </si>
  <si>
    <t>Transferencias Corrientes Sector Externo</t>
  </si>
  <si>
    <t>Transferencias Corrientes Sector Privado</t>
  </si>
  <si>
    <t>Equipo Doméstico</t>
  </si>
  <si>
    <t>Equipo Educacional y Cultural</t>
  </si>
  <si>
    <t>Adquisición de Libros</t>
  </si>
  <si>
    <t>Otros Equipos</t>
  </si>
  <si>
    <t>TOTAL SECCIÓN I</t>
  </si>
  <si>
    <t>SECCIÓN II</t>
  </si>
  <si>
    <t>TOTAL SECCIÓN II</t>
  </si>
  <si>
    <t>TOTAL SECCIÓN III</t>
  </si>
  <si>
    <t>SECCIÓN V</t>
  </si>
  <si>
    <t>TOTAL SECCIÓN V</t>
  </si>
  <si>
    <t>SECCIÓN VI</t>
  </si>
  <si>
    <t>01-98-99</t>
  </si>
  <si>
    <t>02-98-01</t>
  </si>
  <si>
    <t>02-98-01-01</t>
  </si>
  <si>
    <t>04-98-03-02</t>
  </si>
  <si>
    <t>04-98-03-03</t>
  </si>
  <si>
    <t>COVO - CAMINO A LA U.C.R. - GUIAS</t>
  </si>
  <si>
    <t>04-98-99</t>
  </si>
  <si>
    <t>INGRESOS</t>
  </si>
  <si>
    <t>FONDOS CORRIENTES PARA OPERACIONES</t>
  </si>
  <si>
    <t>Venta de Bienes y Servicios</t>
  </si>
  <si>
    <t>Ingresos de la Propiedad</t>
  </si>
  <si>
    <t>TOTAL</t>
  </si>
  <si>
    <t>PRESUPUESTO</t>
  </si>
  <si>
    <t>REAL</t>
  </si>
  <si>
    <t>DIFERENCIA</t>
  </si>
  <si>
    <t>TOTAL GENERAL DE INGRESOS</t>
  </si>
  <si>
    <t>Docencia</t>
  </si>
  <si>
    <t>Investigación</t>
  </si>
  <si>
    <t>Vida Estudiantil</t>
  </si>
  <si>
    <t>Administración</t>
  </si>
  <si>
    <t>Dirección Superior</t>
  </si>
  <si>
    <t>Desarrollo Regional</t>
  </si>
  <si>
    <t>TOTAL GENERAL DE EGRESOS</t>
  </si>
  <si>
    <t>ACTIVIDAD DEPORTIVA SEDE REG ATLANTICO</t>
  </si>
  <si>
    <t>ACTIVIDAD DEPORTIVA SEDE REG. GUANACASTE</t>
  </si>
  <si>
    <t>ACTIVIDAD DEPORTIVA SEDE REG. LIMON</t>
  </si>
  <si>
    <t>07-98-05</t>
  </si>
  <si>
    <t>PRESTACION DE SERVICIOS CCSS-UCR</t>
  </si>
  <si>
    <t>LIBRERIA UNIVERSITARIA</t>
  </si>
  <si>
    <t>01-97-01-11</t>
  </si>
  <si>
    <t>MAESTRIA AGROEMPRESARIAL</t>
  </si>
  <si>
    <t>01-97-01-12</t>
  </si>
  <si>
    <t>DOCTORADO EN EDUCACION</t>
  </si>
  <si>
    <t>01-97-01-13</t>
  </si>
  <si>
    <t>01-97-01-21</t>
  </si>
  <si>
    <t>01-98-05-11</t>
  </si>
  <si>
    <t>POSGRADO EN DERECHO NOTARIAL Y REGISTRAL</t>
  </si>
  <si>
    <t>01-97-04-20</t>
  </si>
  <si>
    <t>01-97-05</t>
  </si>
  <si>
    <t>01-97-05-01</t>
  </si>
  <si>
    <t>01-97-05-02</t>
  </si>
  <si>
    <t>01-97-01-32</t>
  </si>
  <si>
    <t>MAESTRIA EN NUTRICION HUMANA</t>
  </si>
  <si>
    <t>Nota:</t>
  </si>
  <si>
    <t>Inversiones</t>
  </si>
  <si>
    <t>Equipo De Trasporte</t>
  </si>
  <si>
    <t>1.1.3</t>
  </si>
  <si>
    <t>SUMA POR</t>
  </si>
  <si>
    <t>Servicios Intraproyectos</t>
  </si>
  <si>
    <t>Derechos de Matrícula Cursos Especiales</t>
  </si>
  <si>
    <t>Derechos de Matrícula-Prog. Posg. Financ. Compl.</t>
  </si>
  <si>
    <t>Cuota de Bienestar Estudiantil</t>
  </si>
  <si>
    <t>Fondo Solidario Estudiantil</t>
  </si>
  <si>
    <t>Diferencias por Tipo de Cambio</t>
  </si>
  <si>
    <t>Transf. Ctes. del Gobierno Central</t>
  </si>
  <si>
    <t>Transf. Ctes. de Órganos Desconcentrados</t>
  </si>
  <si>
    <t>Transf. Ctes. de Instituciones Descentralizadas</t>
  </si>
  <si>
    <t>02-02-43</t>
  </si>
  <si>
    <t>CENTRO INV.Y ESTUDIOS POLIT"JM CASTRO M"</t>
  </si>
  <si>
    <t>04-04-01</t>
  </si>
  <si>
    <t>UNIDADES VIDA ESTUDIANTIL</t>
  </si>
  <si>
    <t>04-04-02</t>
  </si>
  <si>
    <t>FEDERACION DE ESTUDIANTES UCR (FEUCR)</t>
  </si>
  <si>
    <t>RECINTO GOLFITO</t>
  </si>
  <si>
    <t>07-03-03-02</t>
  </si>
  <si>
    <t>RECINTO DE PARAISO - INVESTIGACION</t>
  </si>
  <si>
    <t>07-03-03-03</t>
  </si>
  <si>
    <t>RECINTO DE PARAISO - ACCION SOCIAL</t>
  </si>
  <si>
    <t>07-03-03-04</t>
  </si>
  <si>
    <t>RECINTO DE PARAISO - VIDA ESTUDIANTIL</t>
  </si>
  <si>
    <t>PLANIFICACION HATO BOVINO E.E.A.V.M.</t>
  </si>
  <si>
    <t>02-98-01-43</t>
  </si>
  <si>
    <t>VENTA DE SERVICIOS-SIEDIN</t>
  </si>
  <si>
    <t>F.D.I. Proyectos Prioritarios VAS (5505) -VI (5301)</t>
  </si>
  <si>
    <t>Maquinaria Y Equipo Para La Produccion</t>
  </si>
  <si>
    <t>Equipo De Transporte</t>
  </si>
  <si>
    <t>Equipo De Comunicacion</t>
  </si>
  <si>
    <t>Equipo Y Programas De Computo</t>
  </si>
  <si>
    <t>Adquisicion De Programas De Computo</t>
  </si>
  <si>
    <t>Equipo Sanitario,De Laboratorio E Invest</t>
  </si>
  <si>
    <t>Equipo Y Mobiliario Educac.Deport Y Recr</t>
  </si>
  <si>
    <t>Maquinaria Y Equipo Diverso</t>
  </si>
  <si>
    <t>Construcciones Adiciones Y Mejoras</t>
  </si>
  <si>
    <t>Vias De Comunicacion Terrestre</t>
  </si>
  <si>
    <t>Otras Construcciones,Adiciones Y Mejoras</t>
  </si>
  <si>
    <t>CLINICA ODONTOLOGICA SEDE REG GUANACASTE</t>
  </si>
  <si>
    <t>PROGRAMAS TECNICOS DE EDUCACION CONTINUA</t>
  </si>
  <si>
    <t>01-97-01-44</t>
  </si>
  <si>
    <t>03-99-94</t>
  </si>
  <si>
    <t>FONDO DEL SISTEMA, PROG. ACCION SOCIAL</t>
  </si>
  <si>
    <t>03-99-94-02</t>
  </si>
  <si>
    <t>03-99-94-10</t>
  </si>
  <si>
    <t>03-99-94-11</t>
  </si>
  <si>
    <t>TALLERES LUDICO-CREATIVOS</t>
  </si>
  <si>
    <t>SERVICIOS APOYO - VICERRECT. ACCION SOC</t>
  </si>
  <si>
    <t>03-99-97</t>
  </si>
  <si>
    <t>FONDO ESPECIAL F.D.I. (ACC SOCIAL -F.R.)</t>
  </si>
  <si>
    <t>FONDOS RESTRINGIDOS -GLOBAL ACCION SOC.</t>
  </si>
  <si>
    <t>ATENCION SOCIO ECONOMICA ESTUDIANTES</t>
  </si>
  <si>
    <t>90% INTERESES - BECAS MEDICINA Y ODONTOL</t>
  </si>
  <si>
    <t>FONDO ESTUDIANTIL APOYO ESTUDIANTES</t>
  </si>
  <si>
    <t>BECAS CROWLEY</t>
  </si>
  <si>
    <t>Productos Oficina de Coordinación Editorial</t>
  </si>
  <si>
    <t>Productos Semanario Universidad</t>
  </si>
  <si>
    <t>Venta de otros Bienes</t>
  </si>
  <si>
    <t>Venta Bienes Empresas Auxiliares</t>
  </si>
  <si>
    <t>Alquiler Soda y Fotocopiadora</t>
  </si>
  <si>
    <t>Servicios Dentales</t>
  </si>
  <si>
    <t>Venta de Bienes y Servicios:</t>
  </si>
  <si>
    <t xml:space="preserve">             Venta de Bienes</t>
  </si>
  <si>
    <t>Ingresos de Financiamiento</t>
  </si>
  <si>
    <t>Ingresos de Capital:</t>
  </si>
  <si>
    <t>1.3.3</t>
  </si>
  <si>
    <t>1.1.9</t>
  </si>
  <si>
    <t>1.3.1</t>
  </si>
  <si>
    <t>1.3.1.1</t>
  </si>
  <si>
    <t>1.3.1.2</t>
  </si>
  <si>
    <t xml:space="preserve">             Venta de Servicios</t>
  </si>
  <si>
    <t>1.3.1.3</t>
  </si>
  <si>
    <t>1.3.2</t>
  </si>
  <si>
    <t>1.3.9</t>
  </si>
  <si>
    <t>1.4.1</t>
  </si>
  <si>
    <t>1.4.1.1</t>
  </si>
  <si>
    <t>1.4.2</t>
  </si>
  <si>
    <t>1.4.3</t>
  </si>
  <si>
    <t>SERVICIOS DE MUELLE SEDE REG. PACIFICO</t>
  </si>
  <si>
    <t>07-98-99</t>
  </si>
  <si>
    <t>01-99-04</t>
  </si>
  <si>
    <t>01-99-04-06</t>
  </si>
  <si>
    <t>01-99-04-08</t>
  </si>
  <si>
    <t>01-99-06</t>
  </si>
  <si>
    <t>01-99-99</t>
  </si>
  <si>
    <t>02-99-01</t>
  </si>
  <si>
    <t>02-99-02</t>
  </si>
  <si>
    <t>02-99-02-02</t>
  </si>
  <si>
    <t>02-99-99</t>
  </si>
  <si>
    <t>03-99-99</t>
  </si>
  <si>
    <t>04-99-99</t>
  </si>
  <si>
    <t>06-99-02</t>
  </si>
  <si>
    <t>06-99-02-01</t>
  </si>
  <si>
    <t>04-10</t>
  </si>
  <si>
    <t>06-09</t>
  </si>
  <si>
    <t>07-03-02</t>
  </si>
  <si>
    <t>07-03-02-05</t>
  </si>
  <si>
    <t>01-98-02</t>
  </si>
  <si>
    <t>05-99-94-06</t>
  </si>
  <si>
    <t>GESTION ADMINIST RECURSOS FONDO SISTEMA</t>
  </si>
  <si>
    <t>07-99-94-04</t>
  </si>
  <si>
    <t>PACIFICO SUR</t>
  </si>
  <si>
    <t>07-99-94-07</t>
  </si>
  <si>
    <t>CHOROTEGA</t>
  </si>
  <si>
    <t>07-99-94-09</t>
  </si>
  <si>
    <t>COORDINACION</t>
  </si>
  <si>
    <t>08-99</t>
  </si>
  <si>
    <t>DES ACADEMICO EXTRAORDINARIO</t>
  </si>
  <si>
    <t>08-99-94</t>
  </si>
  <si>
    <t>FONDO DEL SISTEMA, PROG. INVERSIONES</t>
  </si>
  <si>
    <t>08-99-97</t>
  </si>
  <si>
    <t>GLOBAL INVERSION - FONDOS SISTEMA CONARE</t>
  </si>
  <si>
    <t>Riesgo Policial</t>
  </si>
  <si>
    <t>Materiales Y Prod.Electr. Telef.Y Comput</t>
  </si>
  <si>
    <t>Materiales Y Productos Plasticos</t>
  </si>
  <si>
    <t>Herramientas Repuestos Y Accesorios</t>
  </si>
  <si>
    <t>Equipo Y Mobiliario Oficina</t>
  </si>
  <si>
    <t>CURSOS ESPECIALES GLOBAL ACCION SOCIAL</t>
  </si>
  <si>
    <t>Remuneraciones Basicas</t>
  </si>
  <si>
    <t>Sueldos Para Cargos Fijos</t>
  </si>
  <si>
    <t>Salario Base</t>
  </si>
  <si>
    <t>Suplencias</t>
  </si>
  <si>
    <t>Remuneraciones Eventuales</t>
  </si>
  <si>
    <t>Tiempo Extraordinario</t>
  </si>
  <si>
    <t>Recargo De Funciones</t>
  </si>
  <si>
    <t>Incentivos Salariales</t>
  </si>
  <si>
    <t>DISPONIBLE FINANCIERO POR EJECUTAR</t>
  </si>
  <si>
    <t>JARDIN BOTANICO LANKESTER</t>
  </si>
  <si>
    <t>02-02-42</t>
  </si>
  <si>
    <t>CENTRO INVESTIGACION CIENCIAS GEOLOGICAS</t>
  </si>
  <si>
    <t>07-03-03-05</t>
  </si>
  <si>
    <t>RECINTO DE PARAISO - ADMINISTRACION</t>
  </si>
  <si>
    <t>EXTENCION SERVICIOS LABORATORIO ODONTOL</t>
  </si>
  <si>
    <t xml:space="preserve">Deducciones Retenidas por Pagar </t>
  </si>
  <si>
    <t>PLANTA FISICA</t>
  </si>
  <si>
    <t>04-99-02-09</t>
  </si>
  <si>
    <t>04-99-98</t>
  </si>
  <si>
    <t>02-99-02-46</t>
  </si>
  <si>
    <t>02-99-03</t>
  </si>
  <si>
    <t>02-99-03-06</t>
  </si>
  <si>
    <t>Gastos prepagados</t>
  </si>
  <si>
    <t>Derechos Administrativos</t>
  </si>
  <si>
    <t>Multas, Sanciones, Remates y Confiscaciones</t>
  </si>
  <si>
    <t>Remuneraciones</t>
  </si>
  <si>
    <t>Intereses y Comisiones</t>
  </si>
  <si>
    <t>Activos Financieros</t>
  </si>
  <si>
    <t>Transferencias Corrientes</t>
  </si>
  <si>
    <t>Amortización</t>
  </si>
  <si>
    <t>Productos Veterinarios</t>
  </si>
  <si>
    <t>Tintas, Pintura Y Diluyentes</t>
  </si>
  <si>
    <t>Abonos, Insecticidas Y Otros</t>
  </si>
  <si>
    <t>Alimentos Y Productos Agropecuarios</t>
  </si>
  <si>
    <t>Productos Pecuarios Y Otras Especies</t>
  </si>
  <si>
    <t>Productos Agroforestales</t>
  </si>
  <si>
    <t>Alimentos Y Bebidas</t>
  </si>
  <si>
    <t>Alimentos Para Animales</t>
  </si>
  <si>
    <t>Materiales Y Prod.De Uso Construc Y Mant</t>
  </si>
  <si>
    <t>Materiales Y Produc.Minerales Y Asfaltic</t>
  </si>
  <si>
    <t>Madera Y Sus Derivados</t>
  </si>
  <si>
    <t>Materiales Y Productos Vidrio</t>
  </si>
  <si>
    <t>Otros Materiales Y Produc. De Uso Constr</t>
  </si>
  <si>
    <t>Herramientas E Instrumentos</t>
  </si>
  <si>
    <t>Utiles Y Materiales De Oficina Y Computo</t>
  </si>
  <si>
    <t>Utiles,Materiales Educacionales Y Deport</t>
  </si>
  <si>
    <t>Utiles Y Materiales De Imprenta Y Fotogr</t>
  </si>
  <si>
    <t>Utiles Y Mater. Medico, Hospit. E Invest</t>
  </si>
  <si>
    <t>Productos De Papel, Carton E Impresos</t>
  </si>
  <si>
    <t>Utiles Y Mater. De Resguardo Y Segur</t>
  </si>
  <si>
    <t>Utiles Y Materiales De Cocina Y Comedor</t>
  </si>
  <si>
    <t>Intereses Y Comisiones</t>
  </si>
  <si>
    <t>Intereses Sobre Prestamos</t>
  </si>
  <si>
    <t>Intereses S/Prestamos Inst. Publ. Financ</t>
  </si>
  <si>
    <t>Prestamos</t>
  </si>
  <si>
    <t>Prestamos Al Sector Privado</t>
  </si>
  <si>
    <t>Prestamos A Estudiantes Corto Plazo</t>
  </si>
  <si>
    <t>Prestamo Estudiantes Largo Plazo</t>
  </si>
  <si>
    <t>Prestamo A Profesores</t>
  </si>
  <si>
    <t>Capacitacion Y Protocolo</t>
  </si>
  <si>
    <t>Actividades Protocolarias Y Sociales</t>
  </si>
  <si>
    <t>05-01-02</t>
  </si>
  <si>
    <t>05-01-03</t>
  </si>
  <si>
    <t>05-02</t>
  </si>
  <si>
    <t>MAESTRIA EN CIENCIAS DE LOS ALIMENTOS</t>
  </si>
  <si>
    <t>02-02-23</t>
  </si>
  <si>
    <t>02-02-24</t>
  </si>
  <si>
    <t>02-02-25</t>
  </si>
  <si>
    <t>02-02-26</t>
  </si>
  <si>
    <t>02-02-27</t>
  </si>
  <si>
    <t>02-02-28</t>
  </si>
  <si>
    <t>02-02-28-01</t>
  </si>
  <si>
    <t>02-02-28-02</t>
  </si>
  <si>
    <t>02-02-28-03</t>
  </si>
  <si>
    <t>02-02-29</t>
  </si>
  <si>
    <t>02-02-31</t>
  </si>
  <si>
    <t>02-02-32</t>
  </si>
  <si>
    <t>02-02-33</t>
  </si>
  <si>
    <t>02-02-34</t>
  </si>
  <si>
    <t>Ingresos de Capital</t>
  </si>
  <si>
    <t>EMPRESAS AUXILIARES</t>
  </si>
  <si>
    <t>06-06</t>
  </si>
  <si>
    <t>06-08</t>
  </si>
  <si>
    <t>07</t>
  </si>
  <si>
    <t>07-01</t>
  </si>
  <si>
    <t>TOTAL INGRESOS</t>
  </si>
  <si>
    <t>Superávit del período</t>
  </si>
  <si>
    <t>Transferencia a resultados</t>
  </si>
  <si>
    <t>Salario Escolar</t>
  </si>
  <si>
    <t>Otros Incentivos Salariales</t>
  </si>
  <si>
    <t>02-98-02-16</t>
  </si>
  <si>
    <t>02-98-02-17</t>
  </si>
  <si>
    <t>MODULO DE LECHE SEDE REG. ATLANTICO</t>
  </si>
  <si>
    <t>07-98-03-05</t>
  </si>
  <si>
    <t>SALUD ORAL SEDE REG. ATLANTICO</t>
  </si>
  <si>
    <t>07-98-03-06</t>
  </si>
  <si>
    <t>Equipo Educacional Y Cultural</t>
  </si>
  <si>
    <t>RESUMEN DE INGRESOS POR SECCIÓN</t>
  </si>
  <si>
    <t>Total General de Ingresos</t>
  </si>
  <si>
    <t>RESUMEN DE EGRESOS POR SECCIÓN</t>
  </si>
  <si>
    <t>NOTAS</t>
  </si>
  <si>
    <t xml:space="preserve">Efectivo </t>
  </si>
  <si>
    <t xml:space="preserve">Productos Acumulados </t>
  </si>
  <si>
    <t>Aumento (disminución) en efectivo e inversiones transitorias</t>
  </si>
  <si>
    <t>02-98-99</t>
  </si>
  <si>
    <t>03-98-02</t>
  </si>
  <si>
    <t>03-98-02-01</t>
  </si>
  <si>
    <t>03-98-03</t>
  </si>
  <si>
    <t>03-98-03-01</t>
  </si>
  <si>
    <t>03-98-03-03</t>
  </si>
  <si>
    <t>03-98-99</t>
  </si>
  <si>
    <t>04-98-02</t>
  </si>
  <si>
    <t>04-98-02-02</t>
  </si>
  <si>
    <t>Capital Libros</t>
  </si>
  <si>
    <t>Aportes de Capital</t>
  </si>
  <si>
    <t>PROG EDUCACION CONTINUA FAC. MEDICINA</t>
  </si>
  <si>
    <t>01-99-95-29</t>
  </si>
  <si>
    <t>01-99-95-32</t>
  </si>
  <si>
    <t>02-99-02-41</t>
  </si>
  <si>
    <t>02-02-35</t>
  </si>
  <si>
    <t>02-03</t>
  </si>
  <si>
    <t>03</t>
  </si>
  <si>
    <t>03-02</t>
  </si>
  <si>
    <t>03-02-02</t>
  </si>
  <si>
    <t>03-02-03</t>
  </si>
  <si>
    <t>03-02-04</t>
  </si>
  <si>
    <t>03-02-05</t>
  </si>
  <si>
    <t>03-03</t>
  </si>
  <si>
    <t>03-03-01</t>
  </si>
  <si>
    <t>03-03-02</t>
  </si>
  <si>
    <t>02-02-36</t>
  </si>
  <si>
    <t>05-02-03-10</t>
  </si>
  <si>
    <t>05-02-05</t>
  </si>
  <si>
    <t>06-11</t>
  </si>
  <si>
    <t>Materiales Y Suministros</t>
  </si>
  <si>
    <t>Combustibles Y Lubricantes</t>
  </si>
  <si>
    <t>Textiles Y Vestuarios</t>
  </si>
  <si>
    <t>03-97-03-07</t>
  </si>
  <si>
    <t>03-97-03-08</t>
  </si>
  <si>
    <t>03-97-03-26</t>
  </si>
  <si>
    <t>CURSOS LIBRES ESTUDIOS GENERALES</t>
  </si>
  <si>
    <t>03-97-03-34</t>
  </si>
  <si>
    <t>Otros Ingresos No Tributarios</t>
  </si>
  <si>
    <t>Subsidios Por Incapacidades</t>
  </si>
  <si>
    <t>Ingresos no percibidos</t>
  </si>
  <si>
    <t>TOTAL EGRESOS CAPITALIZABLES</t>
  </si>
  <si>
    <t>PLANTA FÍSICA</t>
  </si>
  <si>
    <t>TOTAL PLANTA FÍSICA</t>
  </si>
  <si>
    <t>TOTAL EGRESOS FONDOS RESTRINGIDOS</t>
  </si>
  <si>
    <t>Acción Social</t>
  </si>
  <si>
    <t>TOTAL CURSOS ESPECIALES</t>
  </si>
  <si>
    <t>TOTAL EGRESOS</t>
  </si>
  <si>
    <t>01-06-03-03</t>
  </si>
  <si>
    <t>01-06-03-04</t>
  </si>
  <si>
    <t>01-06-03-05</t>
  </si>
  <si>
    <t>ESCUELA DE INGENIERIA MECANICA</t>
  </si>
  <si>
    <t>01-06-03-06</t>
  </si>
  <si>
    <t>01-06-03-08</t>
  </si>
  <si>
    <t>01-06-03-09</t>
  </si>
  <si>
    <t>01-06-03-10</t>
  </si>
  <si>
    <t>01-07</t>
  </si>
  <si>
    <t>02</t>
  </si>
  <si>
    <t>01-02-03-02</t>
  </si>
  <si>
    <t>01-02-03-03</t>
  </si>
  <si>
    <t>01-02-03-04</t>
  </si>
  <si>
    <t>01-03</t>
  </si>
  <si>
    <t>01-03-02</t>
  </si>
  <si>
    <t>01-03-02-02</t>
  </si>
  <si>
    <t>Al Sector Privado</t>
  </si>
  <si>
    <t>Becas Horas Estudiantes</t>
  </si>
  <si>
    <t>Becas Categoria E</t>
  </si>
  <si>
    <t>Otras Becas</t>
  </si>
  <si>
    <t>Gastos De Viaje Y Transporte</t>
  </si>
  <si>
    <t>Transporte En El Exterior</t>
  </si>
  <si>
    <t>Seguros, Reaseguros Y Otras Obligaciones</t>
  </si>
  <si>
    <t>Seguros De Riesgos Profesionales</t>
  </si>
  <si>
    <t>03-99-94-08</t>
  </si>
  <si>
    <t>04-99-94-02</t>
  </si>
  <si>
    <t>05-99-94</t>
  </si>
  <si>
    <t>06-99-94-02</t>
  </si>
  <si>
    <t>BECAS POSGRADO A DOCENTES</t>
  </si>
  <si>
    <t>FORTALECIMIENTO CENTRO NACIONAL C.I.T.A.</t>
  </si>
  <si>
    <t>APOYO A LA INV.Y EXT.CON TRANS. FUNDEVI</t>
  </si>
  <si>
    <t>06-04</t>
  </si>
  <si>
    <t>06-04-01</t>
  </si>
  <si>
    <t>06-04-02</t>
  </si>
  <si>
    <t>06-04-03</t>
  </si>
  <si>
    <t>06-04-04</t>
  </si>
  <si>
    <t>06-04-05</t>
  </si>
  <si>
    <t>06-04-06</t>
  </si>
  <si>
    <t>06-04-07</t>
  </si>
  <si>
    <t>06-04-08</t>
  </si>
  <si>
    <t>06-04-09</t>
  </si>
  <si>
    <t>06-05</t>
  </si>
  <si>
    <t>06-05-01</t>
  </si>
  <si>
    <t>06-05-02</t>
  </si>
  <si>
    <t>06-05-03</t>
  </si>
  <si>
    <t>06-05-04</t>
  </si>
  <si>
    <t>06-05-05</t>
  </si>
  <si>
    <t>06-05-06</t>
  </si>
  <si>
    <t>DONACIONES C.I.T.A.</t>
  </si>
  <si>
    <t>FONDO ESPECIAL DE BECAS (SEP)</t>
  </si>
  <si>
    <t>LEY 7277 PROGRAMA COOPE. U.C.R. - M.A.G.</t>
  </si>
  <si>
    <t>SISTEMA DE ESTUDIOS DE POSGRADO</t>
  </si>
  <si>
    <t>DONACION SISTEMA ESTUDIOS DE POSGRADO</t>
  </si>
  <si>
    <t>02-99-94</t>
  </si>
  <si>
    <t>FONDO DEL SISTEMA, PROG. INVESTIGACION</t>
  </si>
  <si>
    <t>01-97-01-37</t>
  </si>
  <si>
    <t>01-97-01-38</t>
  </si>
  <si>
    <t>01-97-01-39</t>
  </si>
  <si>
    <t>01-97-05-10</t>
  </si>
  <si>
    <t>POSGRADO ESPECIALIDADES MEDICAS</t>
  </si>
  <si>
    <t>01-97-05-11</t>
  </si>
  <si>
    <t>01-97-05-14</t>
  </si>
  <si>
    <t>01-97-06</t>
  </si>
  <si>
    <t>01-97-06-01</t>
  </si>
  <si>
    <t>MAESTRIA EN INGENIERIA QUIMICA</t>
  </si>
  <si>
    <t>01-97-06-03</t>
  </si>
  <si>
    <t>03-97-03-73</t>
  </si>
  <si>
    <t>Diferencias En Caja</t>
  </si>
  <si>
    <t>Gastos De Kilometraje</t>
  </si>
  <si>
    <t>Alquiler De Equipo De Computo</t>
  </si>
  <si>
    <t>Servicios Actividades Estudiantiles</t>
  </si>
  <si>
    <t>CASA INFANTIL UNIVERSITARIA</t>
  </si>
  <si>
    <t>PROG. ESTUD.P/APOYO ACADEMICO ADM.OCC</t>
  </si>
  <si>
    <t xml:space="preserve"> </t>
  </si>
  <si>
    <t>Gastos Prepagados</t>
  </si>
  <si>
    <t>Instalaciones</t>
  </si>
  <si>
    <t>Edificios</t>
  </si>
  <si>
    <t>Terrenos</t>
  </si>
  <si>
    <t>Depósitos en Garantía</t>
  </si>
  <si>
    <t>Otras Inversiones</t>
  </si>
  <si>
    <t>PASIVO Y PATRIMONIO</t>
  </si>
  <si>
    <t>Varios Acreedores</t>
  </si>
  <si>
    <t>Gastos Acumulados</t>
  </si>
  <si>
    <t>Fondo de Préstamos</t>
  </si>
  <si>
    <t>Capital Inmovilizado</t>
  </si>
  <si>
    <t>04-99-02-12</t>
  </si>
  <si>
    <t>BECAS VICTORIA SALAS DOUST - INTERESES -</t>
  </si>
  <si>
    <t>04-99-94</t>
  </si>
  <si>
    <t>FONDO DEL SISTEMA, PROG. VIDA ESTUDIANTI</t>
  </si>
  <si>
    <t>04-99-94-01</t>
  </si>
  <si>
    <t>04-99-97</t>
  </si>
  <si>
    <t>FONDO DEL SISTEMA, PROG. VIDA ESTUDIANT.</t>
  </si>
  <si>
    <t>FONDO ESPECIAL F.D.I. (VIDA ESTUD.-F.R.)</t>
  </si>
  <si>
    <t>FONDOS RESTRINGIDOS - GLOBAL VIDA ESTUD.</t>
  </si>
  <si>
    <t>05-99</t>
  </si>
  <si>
    <t>05-99-97</t>
  </si>
  <si>
    <t>FONDO DEL SISTEMA, PROG. ADMINISTRACION</t>
  </si>
  <si>
    <t>06-99-94</t>
  </si>
  <si>
    <t>FONDO DEL SISTEMA, PROG. DIRECC.SUPERIOR</t>
  </si>
  <si>
    <t>06-99-94-03</t>
  </si>
  <si>
    <t>EQUIPO CIENTIFICO Y TECNOLOGICO</t>
  </si>
  <si>
    <t>06-99-97</t>
  </si>
  <si>
    <t>FONDO ESPECIAL F.D.I. (DIRECC SUPER -FR)</t>
  </si>
  <si>
    <t>FONDOS RESTRIGIDOS GLOBAL DIRECCION SUP.</t>
  </si>
  <si>
    <t>PROYECTOS DOCENTES -SEDE REG. OCCIDENTE</t>
  </si>
  <si>
    <t>07-99-02</t>
  </si>
  <si>
    <t>07-99-02-03</t>
  </si>
  <si>
    <t>LEY DE PESCA NO. 8436 SEDE GUANACASTE</t>
  </si>
  <si>
    <t>LEY 7386 RECINTO UNV. DE PARAISO CARTAGO</t>
  </si>
  <si>
    <t>07-99-04-08</t>
  </si>
  <si>
    <t>LEY DE PESCA NO. 8436 SEDE LIMON</t>
  </si>
  <si>
    <t>Estimación para incobrables</t>
  </si>
  <si>
    <t>01-03-02-03</t>
  </si>
  <si>
    <t>01-03-02-04</t>
  </si>
  <si>
    <t>01-03-02-05</t>
  </si>
  <si>
    <t>01-03-02-06</t>
  </si>
  <si>
    <t>01-04</t>
  </si>
  <si>
    <t>01-04-01</t>
  </si>
  <si>
    <t>01-04-01-02</t>
  </si>
  <si>
    <t>01-04-01-03</t>
  </si>
  <si>
    <t xml:space="preserve"> Docencia</t>
  </si>
  <si>
    <t xml:space="preserve"> Investigación</t>
  </si>
  <si>
    <t xml:space="preserve"> Acción Social</t>
  </si>
  <si>
    <t xml:space="preserve"> Vida Estudiantil</t>
  </si>
  <si>
    <t xml:space="preserve"> Administración</t>
  </si>
  <si>
    <t xml:space="preserve"> Dirección Superior</t>
  </si>
  <si>
    <t>Mercadería en Tránsito</t>
  </si>
  <si>
    <t>Derechos Telefónicos</t>
  </si>
  <si>
    <t>Presupuestados</t>
  </si>
  <si>
    <t>TOTAL SECCIÓN VI</t>
  </si>
  <si>
    <t>02-98-01-34</t>
  </si>
  <si>
    <t>02-98-02-01</t>
  </si>
  <si>
    <t>VENTA DE SERVICIOS RADIO UNIVERSIDAD</t>
  </si>
  <si>
    <t>07-98-01-09</t>
  </si>
  <si>
    <t>07-98-02-04</t>
  </si>
  <si>
    <t>07-98-05-01</t>
  </si>
  <si>
    <t>GASTO REAL</t>
  </si>
  <si>
    <t>06-99-98</t>
  </si>
  <si>
    <t>07-99-98</t>
  </si>
  <si>
    <t>01-97-01-35</t>
  </si>
  <si>
    <t>01-97-01-36</t>
  </si>
  <si>
    <t>Becas Horas Asistente Graduado</t>
  </si>
  <si>
    <t>06</t>
  </si>
  <si>
    <t>06-01</t>
  </si>
  <si>
    <t>06-02</t>
  </si>
  <si>
    <t>06-03</t>
  </si>
  <si>
    <t>06-03-01</t>
  </si>
  <si>
    <t>06-03-02</t>
  </si>
  <si>
    <t>04-99-02</t>
  </si>
  <si>
    <t>06-03-03</t>
  </si>
  <si>
    <t>VICERRECTORIA DE ACCION SOCIAL</t>
  </si>
  <si>
    <t>06-03-04</t>
  </si>
  <si>
    <t>06-03-05</t>
  </si>
  <si>
    <t>Superávit Comprometido Fondos Restringidos</t>
  </si>
  <si>
    <t>Superávit Comprometido Empresas Aux.</t>
  </si>
  <si>
    <t>Superávit Comprometido Cursos Especiales</t>
  </si>
  <si>
    <t>Superávit Comp. Renov. Eq. Científ. y Tecn.</t>
  </si>
  <si>
    <t>Superávit Fondo Prést. (Ejerc.Ant.)</t>
  </si>
  <si>
    <t>Superávit Grupos Cultur. O.B.E. Sodas-Fot.</t>
  </si>
  <si>
    <t>Superávit Proyectos de Inversión</t>
  </si>
  <si>
    <t>Bienes Duraderos</t>
  </si>
  <si>
    <t>FONDOS CORRIENTES</t>
  </si>
  <si>
    <t>DOCENCIA</t>
  </si>
  <si>
    <t>APOYO A LA DOCENCIA</t>
  </si>
  <si>
    <t>LICENCIA SABATICA</t>
  </si>
  <si>
    <t>CENTRO DE EVALUACION ACADEMICA</t>
  </si>
  <si>
    <t>TERCER CICLO</t>
  </si>
  <si>
    <t>FORMACION DE RECURSOS DOCENTES</t>
  </si>
  <si>
    <t>PROYECTOS DE DOCENCIA</t>
  </si>
  <si>
    <t>AREA DE ARTES Y LETRAS</t>
  </si>
  <si>
    <t>FACULTAD DE BELLAS ARTES</t>
  </si>
  <si>
    <t>ESCUELA DE ARTES DRAMATICAS</t>
  </si>
  <si>
    <t>ESCUELA DE ARTES PLASTICAS</t>
  </si>
  <si>
    <t>ESCUELA DE ARTES MUSICALES</t>
  </si>
  <si>
    <t>FACULTAD DE LETRAS</t>
  </si>
  <si>
    <t>ESCUELA DE FILOLOGIA</t>
  </si>
  <si>
    <t>ESCUELA DE FILOSOFIA</t>
  </si>
  <si>
    <t>ESCUELA DE LENGUAS MODERNAS</t>
  </si>
  <si>
    <t>AREA DE CIENCIAS BASICAS</t>
  </si>
  <si>
    <t>FACULTAD DE CIENCIAS</t>
  </si>
  <si>
    <t>ESCUELA DE BIOLOGIA</t>
  </si>
  <si>
    <t>ESCUELA DE FISICA</t>
  </si>
  <si>
    <t>ESCUELA CENTROAMERICANA DE GEOLOGIA</t>
  </si>
  <si>
    <t>ESCUELA DE MATEMATICA</t>
  </si>
  <si>
    <t>ESCUELA DE QUIMICA</t>
  </si>
  <si>
    <t>CIENCIAS SOCIALES</t>
  </si>
  <si>
    <t>FACULTAD DE CIENCIAS ECONOMICAS</t>
  </si>
  <si>
    <t>ESCUELA DE ADMINISTRACION NEGOCIOS</t>
  </si>
  <si>
    <t>ESCUELA DE ADMINISTRACION PUBLICA</t>
  </si>
  <si>
    <t>ESCUELA DE ECONOMIA</t>
  </si>
  <si>
    <t>ESCUELA DE ESTADISTICA</t>
  </si>
  <si>
    <t>FACULTAD DE DERECHO</t>
  </si>
  <si>
    <t>FACULTAD DE EDUCACION</t>
  </si>
  <si>
    <t>ESCUELA DE ADMINISTRACION EDUCATIVA</t>
  </si>
  <si>
    <t>ESCUELA DE FORMACION DOCENTE</t>
  </si>
  <si>
    <t>TOTAL PRESUPUESTO DISTRIBUIDO F.S.C. :</t>
  </si>
  <si>
    <t>POSG ENSEÑANZA INGLES COMO LENGUA EXTRAN</t>
  </si>
  <si>
    <t>MAESTRIA EN ODONTOLOGIA GENERAL AVANZADA</t>
  </si>
  <si>
    <t>POSGRADO MEDICINA LEGAL Y PATOLOGIA FORENSE</t>
  </si>
  <si>
    <t>07-02</t>
  </si>
  <si>
    <t>07-02-01</t>
  </si>
  <si>
    <t>07-02-01-01</t>
  </si>
  <si>
    <t>07-02-01-02</t>
  </si>
  <si>
    <t>07-02-01-03</t>
  </si>
  <si>
    <t>MAES. EN GESTION DEL RIESGO EN DESASTRES</t>
  </si>
  <si>
    <t>T.C.U. SERVICIOS EDUCATIVOS COMPLEMENTARIOS</t>
  </si>
  <si>
    <t>03-97-04</t>
  </si>
  <si>
    <t>C.E.D. MAESTRIA EN CIENCIAS BIOMEDICAS</t>
  </si>
  <si>
    <t>MAESTRIA EN QUIMICA INDUSTRIAL</t>
  </si>
  <si>
    <t>01-97-01-15</t>
  </si>
  <si>
    <t>01-97-01-16</t>
  </si>
  <si>
    <t>01-97-01-18</t>
  </si>
  <si>
    <t>ASISTENTES DENTALES</t>
  </si>
  <si>
    <t>ACTIVIDADES DE OPERACIÓN</t>
  </si>
  <si>
    <t>Ajustes por:</t>
  </si>
  <si>
    <t>Efectivo provisto por las operaciones:</t>
  </si>
  <si>
    <t>Depreciación</t>
  </si>
  <si>
    <t>Otras operaciones registradas como egreso capitalizable</t>
  </si>
  <si>
    <t>02-98-02-23</t>
  </si>
  <si>
    <t>04-98-03</t>
  </si>
  <si>
    <t>01-97-05-03</t>
  </si>
  <si>
    <t>05-02-02</t>
  </si>
  <si>
    <t>05-02-03</t>
  </si>
  <si>
    <t>05-02-03-01</t>
  </si>
  <si>
    <t>05-02-03-02</t>
  </si>
  <si>
    <t>05-02-03-03</t>
  </si>
  <si>
    <t>05-02-03-04</t>
  </si>
  <si>
    <t>05-02-03-05</t>
  </si>
  <si>
    <t>05-02-03-06</t>
  </si>
  <si>
    <t>05-02-03-09</t>
  </si>
  <si>
    <t>05-02-04</t>
  </si>
  <si>
    <t>Indemnizaciones</t>
  </si>
  <si>
    <t>CTRO.INV.HISTORICAS DE AMERICA CENTRAL</t>
  </si>
  <si>
    <t>CENTRO INV.EN CONTAMINACION AMBIENTAL</t>
  </si>
  <si>
    <t>CENTRO DE INVESTIG.AGRONOMICAS</t>
  </si>
  <si>
    <t>CENTRO INV.EN GRANOS Y SEMILLAS</t>
  </si>
  <si>
    <t>CENTRO INV. EN TECNOLOGIA DE ALIMENTOS</t>
  </si>
  <si>
    <t>INSTITUTO INV. EN CIENCIAS ECONOMICAS</t>
  </si>
  <si>
    <t>INSTITUTO INV. PSICOLOGICAS</t>
  </si>
  <si>
    <t>INSTITUTO INVESTIGACION EN EDUCACION</t>
  </si>
  <si>
    <t>INSTITUTO INVESTIGACIONES SOCIALES</t>
  </si>
  <si>
    <t>INSTITUTO CLODOMIRO PICADO</t>
  </si>
  <si>
    <t>INSTITUTO INV. EN SALUD</t>
  </si>
  <si>
    <t>INSTITUTO INV. EN INGENIERIA</t>
  </si>
  <si>
    <t>INSTITUTO INV. AGRICOLAS</t>
  </si>
  <si>
    <t>INSTITUTO INV. FILOSOFICAS</t>
  </si>
  <si>
    <t>CENTRO INV. EN PROT. DE CULTIVOS</t>
  </si>
  <si>
    <t>CENTRO INVEST.CIENCIAS E IN. MATERIALES</t>
  </si>
  <si>
    <t>INSTITUTO INV. FARMACEUTICAS</t>
  </si>
  <si>
    <t>UNIDAD DE COORDINACION</t>
  </si>
  <si>
    <t>CTRO. INFORMACION DE MEDICAMENTOS CIMED</t>
  </si>
  <si>
    <t>CENTRO INVESTIG. EN ESTUDIOS DE LA MUJER</t>
  </si>
  <si>
    <t>CENTRO INV. EN DESARROLLO SOSTENIBLE</t>
  </si>
  <si>
    <t>CENTRO INV. IDENTIDAD Y CULTURA LATINOAM</t>
  </si>
  <si>
    <t>CTRO. INVEST. MATEMATICAS Y META-MATEMAT</t>
  </si>
  <si>
    <t>CTRO. INVET. ECON. AGRIC. Y DESA.AGRO-EM</t>
  </si>
  <si>
    <t>INSTITUTO INVESTIGACIONES LINGUISTICAS</t>
  </si>
  <si>
    <t>CTRO INVEST.MATEMAT.PURA Y APL. (CIMPA)</t>
  </si>
  <si>
    <t>INSTITUTO INV. JURIDICAS</t>
  </si>
  <si>
    <t>CENTRO INVEST. ESTRUCTURAS MICROCOPICAS</t>
  </si>
  <si>
    <t>02-01</t>
  </si>
  <si>
    <t>02-01-03</t>
  </si>
  <si>
    <t>02-01-04</t>
  </si>
  <si>
    <t>02-01-05</t>
  </si>
  <si>
    <t>02-01-08</t>
  </si>
  <si>
    <t>02-01-09</t>
  </si>
  <si>
    <t>02-01-10</t>
  </si>
  <si>
    <t>02-01-13</t>
  </si>
  <si>
    <t>02-01-15</t>
  </si>
  <si>
    <t>02-02</t>
  </si>
  <si>
    <t>02-02-01</t>
  </si>
  <si>
    <t>02-02-02</t>
  </si>
  <si>
    <t>02-02-04</t>
  </si>
  <si>
    <t>02-02-05</t>
  </si>
  <si>
    <t>02-02-06</t>
  </si>
  <si>
    <t>02-02-07</t>
  </si>
  <si>
    <t>02-02-08</t>
  </si>
  <si>
    <t>02-02-09</t>
  </si>
  <si>
    <t>02-02-11</t>
  </si>
  <si>
    <t>02-02-12</t>
  </si>
  <si>
    <t>02-02-13</t>
  </si>
  <si>
    <t>02-02-14</t>
  </si>
  <si>
    <t>02-02-15</t>
  </si>
  <si>
    <t>02-02-16</t>
  </si>
  <si>
    <t>02-02-17</t>
  </si>
  <si>
    <t>02-02-18</t>
  </si>
  <si>
    <t>02-02-19</t>
  </si>
  <si>
    <t>02-02-20</t>
  </si>
  <si>
    <t>07-98</t>
  </si>
  <si>
    <t>08</t>
  </si>
  <si>
    <t>08-02</t>
  </si>
  <si>
    <t>08-02-01</t>
  </si>
  <si>
    <t>01-99</t>
  </si>
  <si>
    <t>02-99</t>
  </si>
  <si>
    <t>03-99</t>
  </si>
  <si>
    <t>04-99</t>
  </si>
  <si>
    <t>06-99</t>
  </si>
  <si>
    <t>07-99</t>
  </si>
  <si>
    <t>01-97</t>
  </si>
  <si>
    <t>COMPROMISOS</t>
  </si>
  <si>
    <t>CAJA ANTERIOR</t>
  </si>
  <si>
    <t>CAJA TOTAL</t>
  </si>
  <si>
    <t>CLINICA DENTAL TACARES</t>
  </si>
  <si>
    <t>06-99-05</t>
  </si>
  <si>
    <t>04-98-02-03</t>
  </si>
  <si>
    <t>07-98-03-11</t>
  </si>
  <si>
    <t>06-99-99</t>
  </si>
  <si>
    <t>07-99-01</t>
  </si>
  <si>
    <t>07-99-01-01</t>
  </si>
  <si>
    <t>07-99-03</t>
  </si>
  <si>
    <t>07-99-03-02</t>
  </si>
  <si>
    <t>01-99-04-04</t>
  </si>
  <si>
    <t>01-99-06-07</t>
  </si>
  <si>
    <t>01-99-95-04</t>
  </si>
  <si>
    <t>01-99-95-13</t>
  </si>
  <si>
    <t>01-99-97</t>
  </si>
  <si>
    <t>01-99-98</t>
  </si>
  <si>
    <t>FONDOS</t>
  </si>
  <si>
    <t xml:space="preserve">EMPRESAS </t>
  </si>
  <si>
    <t>CURSOS</t>
  </si>
  <si>
    <t xml:space="preserve"> CORRIENTES</t>
  </si>
  <si>
    <t>AUXILIARES</t>
  </si>
  <si>
    <t>RESTRINGIDOS</t>
  </si>
  <si>
    <t>ESPECIALES</t>
  </si>
  <si>
    <t>MATERIALES Y SUMINISTROS</t>
  </si>
  <si>
    <t>02-99-95-01</t>
  </si>
  <si>
    <t>02-99-95-09</t>
  </si>
  <si>
    <t>02-99-95-25</t>
  </si>
  <si>
    <t>02-99-02-57</t>
  </si>
  <si>
    <t>MEJORAM. DIAGNOS. MOLECULAR DISTROFIA</t>
  </si>
  <si>
    <t>MAESTRIA ADM PUBLICA CONTRATOS PUBLICOS</t>
  </si>
  <si>
    <t>01-97-98</t>
  </si>
  <si>
    <t>PROG. POSGRADO FINANC.COMP,GLOBAL DOCENC</t>
  </si>
  <si>
    <t>01-99-94-12</t>
  </si>
  <si>
    <t>02-99-94-16</t>
  </si>
  <si>
    <t>ADQUIS CONJ BASES DATOS REF Y A TEXT COM</t>
  </si>
  <si>
    <t>Amortizacion</t>
  </si>
  <si>
    <t>07-04</t>
  </si>
  <si>
    <t>07-04-01</t>
  </si>
  <si>
    <t>07-04-01-01</t>
  </si>
  <si>
    <t>07-04-01-02</t>
  </si>
  <si>
    <t>07-04-01-03</t>
  </si>
  <si>
    <t>07-04-01-04</t>
  </si>
  <si>
    <t>07-04-01-05</t>
  </si>
  <si>
    <t>07-05</t>
  </si>
  <si>
    <t>07-05-01</t>
  </si>
  <si>
    <t>07-05-01-01</t>
  </si>
  <si>
    <t>07-05-01-02</t>
  </si>
  <si>
    <t>07-05-01-03</t>
  </si>
  <si>
    <t>07-05-01-04</t>
  </si>
  <si>
    <t>07-05-01-05</t>
  </si>
  <si>
    <t>07-05-01-06</t>
  </si>
  <si>
    <t>01-98</t>
  </si>
  <si>
    <t>02-98</t>
  </si>
  <si>
    <t>04-98</t>
  </si>
  <si>
    <t>Egresos por Ejecutar</t>
  </si>
  <si>
    <t>Impuestos sobre Bienes y Servicios</t>
  </si>
  <si>
    <t>02-01-02</t>
  </si>
  <si>
    <t>06-08-03</t>
  </si>
  <si>
    <t>Otras Construcciones Adiciones y Mejoras</t>
  </si>
  <si>
    <t>TOTAL  FONDOS CORRIENTES PARA OPERACIONES</t>
  </si>
  <si>
    <t xml:space="preserve">Inversiones </t>
  </si>
  <si>
    <t>Diferencia Ingresos sobre Egresos</t>
  </si>
  <si>
    <t>PROGRAMA SOCIEDAD INVESTIGACION Y CONOC</t>
  </si>
  <si>
    <t>PROYECTOS DE DESARROLLO TECNOLOGICO</t>
  </si>
  <si>
    <t>PROYECTOS - CENTRO DE INFORMATICA</t>
  </si>
  <si>
    <t>COMISION INSTITUCIONAL DE EQUIPAMIENTO</t>
  </si>
  <si>
    <t>ARCHIVO UNIVERSITARIO</t>
  </si>
  <si>
    <t>ATENCION Y PREVENCION DESASTRES</t>
  </si>
  <si>
    <t>COMPROMISOS DIRECCION SUPERIOR</t>
  </si>
  <si>
    <t>DESARROLLO REGIONAL</t>
  </si>
  <si>
    <t>SEDE REGIONAL DE OCCIDENTE</t>
  </si>
  <si>
    <t>RECINTO GRECIA - ADMINISTRACION</t>
  </si>
  <si>
    <t>SEDE REG. DE GUANACASTE</t>
  </si>
  <si>
    <t>RECINTO DE LIBERIA</t>
  </si>
  <si>
    <t>RECINTO LIBERIA - DOCENCIA</t>
  </si>
  <si>
    <t>RECINTO LIBERIA - INVESTIGACION</t>
  </si>
  <si>
    <t>RECINTO LIBERIA - ACCION SOCIAL</t>
  </si>
  <si>
    <t>RECINTO LIBERIA - VIDA ESTUDIANTIL</t>
  </si>
  <si>
    <t>RECINTO LIBERIA - ADMINISTRACION</t>
  </si>
  <si>
    <t>RECINTO DE SANTA CRUZ</t>
  </si>
  <si>
    <t>RECINTO SANTA CRUZ - DOCENCIA</t>
  </si>
  <si>
    <t>RECINTO SANTA CRUZ - INVESTIGACION</t>
  </si>
  <si>
    <t>SEDE REGIONAL DEL ATLANTICO</t>
  </si>
  <si>
    <t>RECINTO DE TURRIALBA</t>
  </si>
  <si>
    <t>RECINTO TURRIALBA - DOCENCIA</t>
  </si>
  <si>
    <t>RECINTO TURRIALBA - INVESTIGACION</t>
  </si>
  <si>
    <t>RECINTO TURRIALBA - ACCION SOCIAL</t>
  </si>
  <si>
    <t>RECINTO TURRIALBA - VIDA ESTUDIANTIL</t>
  </si>
  <si>
    <t>RECINTO TURRIALBA - ADMINISTRACION</t>
  </si>
  <si>
    <t>RECINTO DE GUAPILES</t>
  </si>
  <si>
    <t>RECINTO DE GUAPILES - ADMINISTRACION</t>
  </si>
  <si>
    <t>07-03-03</t>
  </si>
  <si>
    <t>RECINTO DE PARAISO</t>
  </si>
  <si>
    <t>SEDE REGIONAL DE LIMON</t>
  </si>
  <si>
    <t>RECINTO DE LIMON</t>
  </si>
  <si>
    <t>SEDE REGIONAL DEL PACIFICO</t>
  </si>
  <si>
    <t>RECINTO DE PUNTARENAS</t>
  </si>
  <si>
    <t>RECINTO DE PUNTARENAS (INVESTIGACION)</t>
  </si>
  <si>
    <t>RECINTO PUNTARENAS - ACCION SOCIAL</t>
  </si>
  <si>
    <t>RECINTO PUNTARENAS - VIDA ESTUDIANTIL</t>
  </si>
  <si>
    <t>RECINTO PUNTARENAS - ADMINISTRACION</t>
  </si>
  <si>
    <t>RECINTO PUNTARENAS - DIRECCION SUPERIOR</t>
  </si>
  <si>
    <t>COMPROMISOS SEDES REGIONALES</t>
  </si>
  <si>
    <t>INVERSIONES (SEC.3)</t>
  </si>
  <si>
    <t>PROYECTOS DE INVERSION</t>
  </si>
  <si>
    <t>EDIFICIOS, ADICIONES Y MEJORAS</t>
  </si>
  <si>
    <t>DESARROLLO VINCULO EXT.ACTIV.TRANSITORIA</t>
  </si>
  <si>
    <t>DESARROLLO VINCULO EXT.ACTIV.PERMANENTES</t>
  </si>
  <si>
    <t>ARTES Y LETRAS</t>
  </si>
  <si>
    <t>CIENCIAS BASICAS</t>
  </si>
  <si>
    <t>SALUD</t>
  </si>
  <si>
    <t>INGENIERIAS Y ARQUITECTURA</t>
  </si>
  <si>
    <t>EMPRESAS AUXILIARES GLOBAL DE DOCENCIA</t>
  </si>
  <si>
    <t>DESARROLLO VINC.EXT.ACT. PERMANENTES E.A</t>
  </si>
  <si>
    <t>VENTA COLECCIONES EDITORIAL U.C.R.</t>
  </si>
  <si>
    <t>LABORAT ANALISIS Y ASESORIA FARMACEUTICA</t>
  </si>
  <si>
    <t>ACTUALIZACION ACADEMICA PRODU. E.E.A.V.M</t>
  </si>
  <si>
    <t>01-98-03-01</t>
  </si>
  <si>
    <t>ESCUELA DE GEOLOGIA - SERVICIOS</t>
  </si>
  <si>
    <t>01-98-04</t>
  </si>
  <si>
    <t>DOCTORADO ESTUDIOS SOCIEDAD Y CULTURA</t>
  </si>
  <si>
    <t>MAESTRIA EN DERECHOS MUNICIPALES</t>
  </si>
  <si>
    <t>Estimación por obsolescencia en inventarios</t>
  </si>
  <si>
    <t>LEY DE PESCA NO.8436 SEDE PACIFICO</t>
  </si>
  <si>
    <t>07-99-94</t>
  </si>
  <si>
    <t>FONDO DEL SISTEMA, PROG. DESAR. REGIONAL</t>
  </si>
  <si>
    <t>07-99-97</t>
  </si>
  <si>
    <t>FONDO ESPECIAL F.D.I. (DES REGIONAL -FR)</t>
  </si>
  <si>
    <t>FONDOS RESTRINDOS -GLOBAL DESARROLLO REG</t>
  </si>
  <si>
    <t>ACTIVIDAD DEPORTIVA SEDE REG. ATLANTICO</t>
  </si>
  <si>
    <t>01-97-01-07</t>
  </si>
  <si>
    <t>POSGRADO COMPUTACION E INFORMATICA</t>
  </si>
  <si>
    <t>MAESTRIA ADMINISTRACION UNIVERSITARIA</t>
  </si>
  <si>
    <t>ACTIVIDAD DEPORTIVA ESC.EDUCACION FISICA</t>
  </si>
  <si>
    <t>MAESTRIA EVALUACION PROYECTOS</t>
  </si>
  <si>
    <t>01-97-04-28</t>
  </si>
  <si>
    <t>MAESTRIA EN JUSTICIA CONSTITUCIONAL</t>
  </si>
  <si>
    <t>MAESTRIA EN SALUD PUBLICA-VARIOS ENFASIS</t>
  </si>
  <si>
    <t>POSGRADO MEDICINA LEGAL Y PATOLOGIA</t>
  </si>
  <si>
    <t>MAESTRIA EN CIENCIAS DE ENFERMERIA</t>
  </si>
  <si>
    <t>MAESTRIA EN INGENIERIA INDUSTRIAL</t>
  </si>
  <si>
    <t>CURSOS ESPECIALES GLOBAL DE DOCENCIA</t>
  </si>
  <si>
    <t>DESARROLLO VINC. EXT.ACTIV.TRANSITORIAS</t>
  </si>
  <si>
    <t>T.C.U. SERVICIOS EDUCATIVOS COMPLEMENTAR</t>
  </si>
  <si>
    <t>CURSOS CORTOS SEDE REG. DE LIMON</t>
  </si>
  <si>
    <t>ETAPA BASICA DE MUSICA SEDE REG.ATLANTIC</t>
  </si>
  <si>
    <t>PROGRAMA ASESORIA, ACT. Y CAPACITACION</t>
  </si>
  <si>
    <t>07-01-01</t>
  </si>
  <si>
    <t>07-01-01-01</t>
  </si>
  <si>
    <t>07-01-01-02</t>
  </si>
  <si>
    <t>03-98-03-17</t>
  </si>
  <si>
    <t>PLANETARIO DE LA UNIVERSIDAD DE C.R.</t>
  </si>
  <si>
    <t>07-98-01-12</t>
  </si>
  <si>
    <t>CASA INFANTIL SEDE OCCIDENTE</t>
  </si>
  <si>
    <t>07-98-02-01</t>
  </si>
  <si>
    <t>01-97-02-04</t>
  </si>
  <si>
    <t>03-97-03-83</t>
  </si>
  <si>
    <t>CAPACITACION EN LESCO-CENDEISS</t>
  </si>
  <si>
    <t>01-97-04-29</t>
  </si>
  <si>
    <t>01-97-05-16</t>
  </si>
  <si>
    <t>02-99-95-05</t>
  </si>
  <si>
    <t>ESTAC. EXPERIMENTAL FABIO BAUDRIT M.</t>
  </si>
  <si>
    <t>06-99-95-15</t>
  </si>
  <si>
    <t>01-99-94-18</t>
  </si>
  <si>
    <t>BACH.CIENCIAS EDUC. I Y II CICLO-CABECAR</t>
  </si>
  <si>
    <t>03-99-94-21</t>
  </si>
  <si>
    <t>FORMACION INTEGRAL DE LA PERSONA JOVEN</t>
  </si>
  <si>
    <t>04-99-94-04</t>
  </si>
  <si>
    <t>01-97-05-06</t>
  </si>
  <si>
    <t>ESPECIALIDADES EN MICROBIOLOGIA</t>
  </si>
  <si>
    <t>RESIDENCIAS ESTUDIANTIL RECINTO GOLFITO</t>
  </si>
  <si>
    <t>DESARROLLO INTEGRAL ESTUDIANTIL</t>
  </si>
  <si>
    <t>FICHAS PROFESIOGRAFICAS U.V.E.</t>
  </si>
  <si>
    <t>EMPRESA AUXILIAR GLOBAL VIDA ESTUDIANTIL</t>
  </si>
  <si>
    <t>DESARROLLO VINC.EXT.ACTIV.PERMANENTES</t>
  </si>
  <si>
    <t>RESIDENCIAS ESTUDIANTALES SEDE REG. OCC.</t>
  </si>
  <si>
    <t>SEDE REGIONAL DE GUANACASTE</t>
  </si>
  <si>
    <t>RESIDENCIAS ESTUDIANTILES SEDE REG. GUAN</t>
  </si>
  <si>
    <t>USO PISCINAS SEDE REG. ATLANTICO</t>
  </si>
  <si>
    <t>ALQ. CANCHA FUTBOL Y GIMNASIO S.R.A.</t>
  </si>
  <si>
    <t>EMPRESA AUXILIAR GLOBAL SEDES REGIONALES</t>
  </si>
  <si>
    <t>ATENCION CUENTAS PENDIENTES: INVERSIONES</t>
  </si>
  <si>
    <t>DESARROLLO ACADEMICO EXTRAORDINARIO</t>
  </si>
  <si>
    <t>DONACION FACULTAD CIENCIAS ECONOMICAS</t>
  </si>
  <si>
    <t>APORTE CORTE SUPREMA JUSTICIA-CONSU.JURI</t>
  </si>
  <si>
    <t>FITOPATOLOGIA -PROYECTO CENTROA.SIGATOKA</t>
  </si>
  <si>
    <t>XI CONGRESO LAT. EST. ING. QUIMICA</t>
  </si>
  <si>
    <t>01-99-94</t>
  </si>
  <si>
    <t>FONDO DEL SISTEMA, PROG. DOCENCIA</t>
  </si>
  <si>
    <t>07-02-01-04</t>
  </si>
  <si>
    <t>03-99-02</t>
  </si>
  <si>
    <t>01-97-03-03</t>
  </si>
  <si>
    <t>01-97-99</t>
  </si>
  <si>
    <t>03-97</t>
  </si>
  <si>
    <t>03-97-03</t>
  </si>
  <si>
    <t>03-97-03-05</t>
  </si>
  <si>
    <t>03-97-03-15</t>
  </si>
  <si>
    <t>01-97-01-23</t>
  </si>
  <si>
    <t>MAESTRIA EN GERONTOLOGIA</t>
  </si>
  <si>
    <t>01-97-01-25</t>
  </si>
  <si>
    <t>01-97-01-29</t>
  </si>
  <si>
    <t>DOCTORADO GOBIERNO Y POLITICA PUBLICA</t>
  </si>
  <si>
    <t>01-97-01-30</t>
  </si>
  <si>
    <t>MAESTRIA TRABAJO SOCIAL</t>
  </si>
  <si>
    <t>ETAPA BASICA DE MUSICA SEDE CENTRAL</t>
  </si>
  <si>
    <t>FORTALECIMIENTO EDUCACION CONTINUA</t>
  </si>
  <si>
    <t>ESTACION EXPERIMENTAL ALFREDO VOLIO M.</t>
  </si>
  <si>
    <t>02-98-01-20</t>
  </si>
  <si>
    <t>LABORATORIO DE ENSAYOS BIOLOGICOS</t>
  </si>
  <si>
    <t>02-98-01-22</t>
  </si>
  <si>
    <t>PROGRAMA AVICOLA E.E.F.B.M.</t>
  </si>
  <si>
    <t>02-98-01-26</t>
  </si>
  <si>
    <t>ACCESO A MATERIAL BIBLIOTECARIO</t>
  </si>
  <si>
    <t>02-98-01-30</t>
  </si>
  <si>
    <t>MICROSCOPIA ELECTRONICA - SERVICIOS</t>
  </si>
  <si>
    <t>02-98-02</t>
  </si>
  <si>
    <t>02-98-02-10</t>
  </si>
  <si>
    <t>02-98-02-12</t>
  </si>
  <si>
    <t>Bienes Duraderos Diversos</t>
  </si>
  <si>
    <t>Bienes Intangibles</t>
  </si>
  <si>
    <t>Transferencias Corrientes A Personas</t>
  </si>
  <si>
    <t>Becas A Funcionarios</t>
  </si>
  <si>
    <t>Becas A Terceras Personas</t>
  </si>
  <si>
    <t>Becas Horas Asistente</t>
  </si>
  <si>
    <t>Becas Servicio De Comedor</t>
  </si>
  <si>
    <t>Ayudas A Funcionarios</t>
  </si>
  <si>
    <t>Otras Transferencias A Personas</t>
  </si>
  <si>
    <t>Prestaciones</t>
  </si>
  <si>
    <t>Prestaciones Legales</t>
  </si>
  <si>
    <t>Transf.Ctes.A Entid.Priv.Sin Fines Lucro</t>
  </si>
  <si>
    <t>Transferencias Corrientes A Asociaciones</t>
  </si>
  <si>
    <t>Transferencias Asociacion Deportiva</t>
  </si>
  <si>
    <t>Asociacion Deportiva Interestatal Ucr</t>
  </si>
  <si>
    <t>Otras Tranfer. Corrientes Al Sector Priv</t>
  </si>
  <si>
    <t>RESUMEN DE EGRESOS POR OBJETO DE GASTO</t>
  </si>
  <si>
    <t>01-06-03-07</t>
  </si>
  <si>
    <t>01-08</t>
  </si>
  <si>
    <t>01-08-02</t>
  </si>
  <si>
    <t>01-08-02-03</t>
  </si>
  <si>
    <t>02-02-03</t>
  </si>
  <si>
    <t>08-96</t>
  </si>
  <si>
    <t>01-99-95</t>
  </si>
  <si>
    <t>01-99-95-03</t>
  </si>
  <si>
    <t>02-01-02-05</t>
  </si>
  <si>
    <t>Préstamos a cobrar a profesores y estudiantes</t>
  </si>
  <si>
    <t>Inventarios</t>
  </si>
  <si>
    <t>Efectivo neto provisto por actividades de operación</t>
  </si>
  <si>
    <t>Adiciones a inmuebles, mobiliario y equipo</t>
  </si>
  <si>
    <t>Inversiones permanentes</t>
  </si>
  <si>
    <t>Otros activos</t>
  </si>
  <si>
    <t>01</t>
  </si>
  <si>
    <t>01-01-02</t>
  </si>
  <si>
    <t>01-01-03</t>
  </si>
  <si>
    <t>01-01-04</t>
  </si>
  <si>
    <t>01-01-06</t>
  </si>
  <si>
    <t>01-01-08</t>
  </si>
  <si>
    <t>01-02</t>
  </si>
  <si>
    <t>01-02-02</t>
  </si>
  <si>
    <t>01-02-02-02</t>
  </si>
  <si>
    <t>01-02-02-03</t>
  </si>
  <si>
    <t>01-02-02-04</t>
  </si>
  <si>
    <t>01-02-03</t>
  </si>
  <si>
    <t>01-04-01-04</t>
  </si>
  <si>
    <t>01-04-01-05</t>
  </si>
  <si>
    <t>01-04-02</t>
  </si>
  <si>
    <t>01-04-03</t>
  </si>
  <si>
    <t>01-04-03-02</t>
  </si>
  <si>
    <t>01-04-03-03</t>
  </si>
  <si>
    <t>01-04-03-04</t>
  </si>
  <si>
    <t>01-04-03-05</t>
  </si>
  <si>
    <t>01-04-03-06</t>
  </si>
  <si>
    <t>01-04-05</t>
  </si>
  <si>
    <t>01-04-05-02</t>
  </si>
  <si>
    <t>01-04-05-03</t>
  </si>
  <si>
    <t>01-04-05-04</t>
  </si>
  <si>
    <t>01-04-05-05</t>
  </si>
  <si>
    <t>Timbre de ley No.6614</t>
  </si>
  <si>
    <t>01-04-05-06</t>
  </si>
  <si>
    <t>SECCIÓN</t>
  </si>
  <si>
    <t>Fondos Corrientes para Operaciones</t>
  </si>
  <si>
    <t>Empresas Auxiliares</t>
  </si>
  <si>
    <t>Alquiler De Edificios,Locales Y Terrenos</t>
  </si>
  <si>
    <t>Alquiler De Maquinaria,Equipo Y Mobiliar</t>
  </si>
  <si>
    <t>Alquiler Y Derechos Para Telecomunicac</t>
  </si>
  <si>
    <t>Otros Alquileres</t>
  </si>
  <si>
    <t>Servicio De Agua Y Alcantarillado</t>
  </si>
  <si>
    <t>Servicio De Correo</t>
  </si>
  <si>
    <t>Servicio De Telecomunicaciones</t>
  </si>
  <si>
    <t>Servicios Comerciales Y Financieros</t>
  </si>
  <si>
    <t>Publicidad Y Propaganda</t>
  </si>
  <si>
    <t>Transporte De Bienes</t>
  </si>
  <si>
    <t>Comisiones Y Gtos Por Serv. Financ.Y Com</t>
  </si>
  <si>
    <t>Servicios De Desarrollo De Sist.Informat</t>
  </si>
  <si>
    <t>Servicios Generales</t>
  </si>
  <si>
    <t>06-08-02-05</t>
  </si>
  <si>
    <t>06-08-02-06</t>
  </si>
  <si>
    <t>06-08-03-01</t>
  </si>
  <si>
    <t>06-08-03-02</t>
  </si>
  <si>
    <t>Servicios Semanario Universidad</t>
  </si>
  <si>
    <t>Venta de otros Servicios</t>
  </si>
  <si>
    <t>Servicios de Fotocopiado</t>
  </si>
  <si>
    <t>Servicios Varios</t>
  </si>
  <si>
    <t>Venta de Servicios Empresas Auxiliares</t>
  </si>
  <si>
    <t>Derechos Administrativos a otros Servicios Públicos</t>
  </si>
  <si>
    <t>Derechos Administrativos a los Servicios de Educación</t>
  </si>
  <si>
    <t>Derechos y Confecciones Carné UCR</t>
  </si>
  <si>
    <t>Derechos de Examen de Admisión</t>
  </si>
  <si>
    <t>Derechos de Incorporación y Título</t>
  </si>
  <si>
    <t>Derechos de Marchamo</t>
  </si>
  <si>
    <t>Derechos de Laboratorio</t>
  </si>
  <si>
    <t>Derechos de Matrícula Estudios de Posgrado</t>
  </si>
  <si>
    <t>Derechos de Certificaciones</t>
  </si>
  <si>
    <t>Superávit Comprometido Prog. Posg. Financ. Compl.</t>
  </si>
  <si>
    <t>AREA DE CIENCIAS SOCIALES</t>
  </si>
  <si>
    <t>ESCUELA DE SOCIOLOGIA</t>
  </si>
  <si>
    <t>01-04-05-09</t>
  </si>
  <si>
    <t>ESCUELA DE ANTROPOLOGIA</t>
  </si>
  <si>
    <t>ESCUELA DE TECNOLOGIAS EN SALUD</t>
  </si>
  <si>
    <t>AREA DE INGENIERIA Y ARQUITECTURA</t>
  </si>
  <si>
    <t>ESCUELA DE ESTUDIOS GENERALES</t>
  </si>
  <si>
    <t>FONDOS CONCURSABLES (APOYO A LA INVEST)</t>
  </si>
  <si>
    <t>02-01-02-06</t>
  </si>
  <si>
    <t>FONDO INTERSEDES</t>
  </si>
  <si>
    <t>SIST.EDITORIAL DE DIF. CIENTIF DE LA INV</t>
  </si>
  <si>
    <t>SISTEMA DE BIBLIOTECAS</t>
  </si>
  <si>
    <t>UNIDAD DE GESTION Y TRANSFER.DEL CONOCIM</t>
  </si>
  <si>
    <t>CENTRO INV. NUTRICION ANIMAL</t>
  </si>
  <si>
    <t>Reales</t>
  </si>
  <si>
    <t>TOTAL DEL PRESUPUESTO DISTRIBUIDO</t>
  </si>
  <si>
    <t>TOTAL DEL PRESUPUESTO POR DISTRIBUIR</t>
  </si>
  <si>
    <t>01-99-03-01</t>
  </si>
  <si>
    <t>FORTALECIMIENTO DEL CENTRO NACIONAL C.I.T.A.</t>
  </si>
  <si>
    <t>Materiales Y Prod.Electr. Telef. Y Compu</t>
  </si>
  <si>
    <t>Comisiones Y Otros Gastos</t>
  </si>
  <si>
    <t>Diferencias Por Tipo De Cambio</t>
  </si>
  <si>
    <t>FONDO ESPECIAL F.D.I. (DOCENCIA - F.R.)</t>
  </si>
  <si>
    <t>FONDO RESTRINGIDO GLOBAL DOCENCIA</t>
  </si>
  <si>
    <t>02-99-01-08</t>
  </si>
  <si>
    <t>EUCR EDICION DE LIBROS</t>
  </si>
  <si>
    <t>02-99-94-05</t>
  </si>
  <si>
    <t>SISTEMA BIBLIOTECARIO DE LA ESUE DE C.R.</t>
  </si>
  <si>
    <t>BECAS VICTORIA SALAS DOUST-INVERSION</t>
  </si>
  <si>
    <t>04-99-02-13</t>
  </si>
  <si>
    <t>PREST. ESTUD. GOLCHER BARQUIL-INTERESES</t>
  </si>
  <si>
    <t>EXAMEN DE DIAGNOSTICO DE MATEMATICA</t>
  </si>
  <si>
    <t>PROGRAMA EXTENSION EDUCATIVA PREESCOLAR</t>
  </si>
  <si>
    <t>Remuneraciones Diversas</t>
  </si>
  <si>
    <t>Mantenimiento De Edificios Y Locales</t>
  </si>
  <si>
    <t>Amortizacion De Prestamos</t>
  </si>
  <si>
    <t>Maquinaria y Equipo para la Producción</t>
  </si>
  <si>
    <t xml:space="preserve">Equipo de Transporte </t>
  </si>
  <si>
    <t>Equipo de Comunicación</t>
  </si>
  <si>
    <t>Equipo y Mobiliario de Oficina</t>
  </si>
  <si>
    <t>Adquisición de Programas de Cómputo</t>
  </si>
  <si>
    <t>Equipo Sanitario, de Laboratorio e Investigación</t>
  </si>
  <si>
    <t>ADMINISTRACION FINANCIERA Y DE PERSONAL</t>
  </si>
  <si>
    <t>OFICINA DE ADMINISTRACION FINANCIERA</t>
  </si>
  <si>
    <t>OFICINA DE RECURSOS HUMANOS</t>
  </si>
  <si>
    <t>PAGO DE SERVICIOS BASICOS</t>
  </si>
  <si>
    <t>OFICINA DE SUMINISTROS</t>
  </si>
  <si>
    <t>OFICINA DE SERVICIOS GENERALES</t>
  </si>
  <si>
    <t>UNIDAD COORDINACION OFIC.SERV.GENERALES</t>
  </si>
  <si>
    <t>PROYEC. ESPECIF. MANTENIMIENTO</t>
  </si>
  <si>
    <t>SERVICIOS DE APOYO DE ADMINISTRACION</t>
  </si>
  <si>
    <t>PROYECTOS DE ADMINISTRACION</t>
  </si>
  <si>
    <t>COMPROMISOS ADMINISTRACION</t>
  </si>
  <si>
    <t>DIRECCION SUPERIOR</t>
  </si>
  <si>
    <t>CONSEJO UNIVERSITARIO</t>
  </si>
  <si>
    <t>RECTORIA</t>
  </si>
  <si>
    <t>VICERRECTORIAS</t>
  </si>
  <si>
    <t>VICERRECTORIA DE DOCENCIA</t>
  </si>
  <si>
    <t>VICERRECTORIA DE INVESTIGACION</t>
  </si>
  <si>
    <t>VICERRECTORIA DE VIDA ESTUDIANTIL</t>
  </si>
  <si>
    <t>VICERRECTORIA DE ADMINISTRACION</t>
  </si>
  <si>
    <t>DECANATOS</t>
  </si>
  <si>
    <t>DECANATO DE BELLAS ARTES</t>
  </si>
  <si>
    <t>DECANATO DE LETRAS</t>
  </si>
  <si>
    <t>DECANATO DE CIENCIAS BASICAS</t>
  </si>
  <si>
    <t>DECANATO DE CIENCIAS ECONOMICAS</t>
  </si>
  <si>
    <t>DECANATO DE EDUCACION</t>
  </si>
  <si>
    <t>DECANATO DE CIENCIAS SOCIALES</t>
  </si>
  <si>
    <t>DECANATO DE MEDICINA</t>
  </si>
  <si>
    <t>DECANATO DE CIENCIAS AGROALIMENTARIAS</t>
  </si>
  <si>
    <t>DECANATO DE INGENIERIA</t>
  </si>
  <si>
    <t>OFICINAS ADMINISTRATIVAS</t>
  </si>
  <si>
    <t>PLANIFICACION UNIVERSITARIA</t>
  </si>
  <si>
    <t>CONTRALORIA UNIVERSITARIA</t>
  </si>
  <si>
    <t>OFICINA JURIDICA</t>
  </si>
  <si>
    <t>EJECUTORA DEL PLAN DE INVERSIONES</t>
  </si>
  <si>
    <t>ASUNTOS INTERNACIONALES</t>
  </si>
  <si>
    <t>CENTRO DE INFORMATICA</t>
  </si>
  <si>
    <t>TRIBUNAL UNIVERSITARIO</t>
  </si>
  <si>
    <t>APOYO ACADEMICO INSTITUCIONAL</t>
  </si>
  <si>
    <t>UNIDADES DE APOYO ACADEMICO</t>
  </si>
  <si>
    <t>PROYECTOS ESPECIFICOS</t>
  </si>
  <si>
    <t>FERIA CIENTIFICA</t>
  </si>
  <si>
    <t>RESIDENCIAS ESTUDIANTILES RECINTO GRECIA</t>
  </si>
  <si>
    <t>Aumento en inmuebles, mobiliario y equipo</t>
  </si>
  <si>
    <t>FONDOS INTRAPROYECTOS</t>
  </si>
  <si>
    <t>FONDOS DEL SISTEMA (CONARE)</t>
  </si>
  <si>
    <t>TOTAL FONDOS INTRAPROYECTOS</t>
  </si>
  <si>
    <t>MAEST PROFES EN FARMAC Y GEREN DE MEDICA</t>
  </si>
  <si>
    <t>02-98-02-19</t>
  </si>
  <si>
    <t>04-98-03-01</t>
  </si>
  <si>
    <t>07-98-02-06</t>
  </si>
  <si>
    <t>FERIA NACIONAL CIENCIA Y TECNOLOGIA</t>
  </si>
  <si>
    <t>FACULTAD DE CIENCIAS SOCIALES</t>
  </si>
  <si>
    <t>ESCUELA CIENCIAS COMUNICACION COLECTIVA</t>
  </si>
  <si>
    <t>ESCUELA DE CIENCIAS POLITICAS</t>
  </si>
  <si>
    <t>ESCUELA DE HISTORIA</t>
  </si>
  <si>
    <t>ESCUELA DE TRABAJO SOCIAL</t>
  </si>
  <si>
    <t>ESCUELA DE PSICOLOGIA</t>
  </si>
  <si>
    <t>ESCUELA DE GEOGRAFIA</t>
  </si>
  <si>
    <t>PROG EDUC CONTINUA LENGUA Y LITERATURA</t>
  </si>
  <si>
    <t>Transferencia de superávit comprometido</t>
  </si>
  <si>
    <t>Otros movimientos del período</t>
  </si>
  <si>
    <t>02-99-95</t>
  </si>
  <si>
    <t>03-99-95</t>
  </si>
  <si>
    <t>06-99-95</t>
  </si>
  <si>
    <t>06-99-95-05</t>
  </si>
  <si>
    <t>06-99-95-09</t>
  </si>
  <si>
    <t>06-99-95-11</t>
  </si>
  <si>
    <t>06-99-95-12</t>
  </si>
  <si>
    <t>07-99-95</t>
  </si>
  <si>
    <t>ACTIVIDAD DEPORTIVA SEDE REG. PACIFICO</t>
  </si>
  <si>
    <t>01-97-01-34</t>
  </si>
  <si>
    <t>01-97-04-24</t>
  </si>
  <si>
    <t>01-97-04-25</t>
  </si>
  <si>
    <t>01-97-05-12</t>
  </si>
  <si>
    <t>01-97-06-04</t>
  </si>
  <si>
    <t>01-97-06-05</t>
  </si>
  <si>
    <t>01-97-06-06</t>
  </si>
  <si>
    <t>01-99-94-11</t>
  </si>
  <si>
    <t>ESCUELA DE FILOLOGIA, LING. Y LIT.</t>
  </si>
  <si>
    <t>Donación Sistema Estudios de Posgrado</t>
  </si>
  <si>
    <t>F.D.I. Programas de Interés Institucional</t>
  </si>
  <si>
    <t>5301-5505</t>
  </si>
  <si>
    <t>07-01-01-03</t>
  </si>
  <si>
    <t>07-01-01-04</t>
  </si>
  <si>
    <t>07-01-01-05</t>
  </si>
  <si>
    <t>07-01-01-06</t>
  </si>
  <si>
    <t>07-01-02</t>
  </si>
  <si>
    <t>07-01-02-05</t>
  </si>
  <si>
    <t>Venta de Servicios</t>
  </si>
  <si>
    <t>Venta de Bienes</t>
  </si>
  <si>
    <t>01-98-02-06</t>
  </si>
  <si>
    <t>ACTIVIDAD TEATRO UNIVERSITARIO</t>
  </si>
  <si>
    <t>01-98-03</t>
  </si>
  <si>
    <t>02-99-97</t>
  </si>
  <si>
    <t>02-99-98</t>
  </si>
  <si>
    <t>03-99-95-05</t>
  </si>
  <si>
    <t>03-99-98</t>
  </si>
  <si>
    <t>04-99-02-08</t>
  </si>
  <si>
    <t>Cambios en activos y pasivos que proveen (usan) efectivo:</t>
  </si>
  <si>
    <t>07-99-04</t>
  </si>
  <si>
    <t>07-99-04-03</t>
  </si>
  <si>
    <t>07-99-05</t>
  </si>
  <si>
    <t>07-99-05-02</t>
  </si>
  <si>
    <t>07-99-99</t>
  </si>
  <si>
    <t>01-97-01</t>
  </si>
  <si>
    <t>01-97-01-03</t>
  </si>
  <si>
    <t>01-97-01-04</t>
  </si>
  <si>
    <t>MAESTRIA EN ECONOMIA</t>
  </si>
  <si>
    <t>01-97-01-05</t>
  </si>
  <si>
    <t>ACTIVIDAD DEPORTIVA SEDE REG. OCCIDENTE</t>
  </si>
  <si>
    <t>Cuentas por cobrar y otros deudores</t>
  </si>
  <si>
    <t>Producto acumulado</t>
  </si>
  <si>
    <t>Gastos acumulados por pagar</t>
  </si>
  <si>
    <t>02-99-01-22</t>
  </si>
  <si>
    <t>Repuestos Y Accesorios</t>
  </si>
  <si>
    <t>Utiles Y Materiales De Oficina</t>
  </si>
  <si>
    <t>Utiles Y Materiales De Limpieza</t>
  </si>
  <si>
    <t>Transferencias Corrientes del Sector Externo</t>
  </si>
  <si>
    <t>Equipo Domestico</t>
  </si>
  <si>
    <t>Egresos por ejecutar</t>
  </si>
  <si>
    <t>FONDO DE DESARROLLO INSTITUCIONAL</t>
  </si>
  <si>
    <t>MAESTRIA EN DERECHO AMBIENTAL</t>
  </si>
  <si>
    <t>Otros Ingresos no Tributarios</t>
  </si>
  <si>
    <t>AREA DE SALUD</t>
  </si>
  <si>
    <t>FACULTAD DE MEDICINA</t>
  </si>
  <si>
    <t>ESCUELA DE MEDICINA</t>
  </si>
  <si>
    <t>ESCUELA DE ENFERMERIA</t>
  </si>
  <si>
    <t>ESCUELA DE SALUD PUBLICA</t>
  </si>
  <si>
    <t>ESCUELA DE NUTRICION</t>
  </si>
  <si>
    <t>FACULTAD DE ODONTOLOGIA</t>
  </si>
  <si>
    <t>FACULTAD DE MICROBIOLOGIA</t>
  </si>
  <si>
    <t>FACULTAD DE FARMACIA</t>
  </si>
  <si>
    <t>FACULTAD DE INGENIERIA</t>
  </si>
  <si>
    <t>ESCUELA DE INGENIERIA CIVIL</t>
  </si>
  <si>
    <t>ESCUELA DE INGENIERIA QUIMICA</t>
  </si>
  <si>
    <t>ESCUELA DE INGENIERIA ELECTRICA</t>
  </si>
  <si>
    <t>ESCUELA DE INGENIERIA INDUSTRIAL</t>
  </si>
  <si>
    <t>ESCUELA DE ARQUITECTURA</t>
  </si>
  <si>
    <t>CENTRO CENTROAMERICANO DE POBLACION</t>
  </si>
  <si>
    <t>CENTRO DE INVESTIGACIONES ESPACIALES</t>
  </si>
  <si>
    <t>CTRO INVESTIG. EN CS ATOMIC NUCL Y MOLEC</t>
  </si>
  <si>
    <t>CENTRO INVEST. Y CAPAC. EN ADM. PUBLICA</t>
  </si>
  <si>
    <t>SISTEMA DE ESTUDIOS DE POS-GRADO</t>
  </si>
  <si>
    <t>COMPROMISOS INVESTIGACION</t>
  </si>
  <si>
    <t>ACCION SOCIAL</t>
  </si>
  <si>
    <t>DIVULGACION Y DIFUSION</t>
  </si>
  <si>
    <t>SEMANARIO UNIVERSIDAD</t>
  </si>
  <si>
    <t>RADIO UNIVERSIDAD DE COSTA RICA</t>
  </si>
  <si>
    <t>OFICINA DE DIVULGACION E INFORMACION</t>
  </si>
  <si>
    <t>APOYO A LA ACCION SOCIAL</t>
  </si>
  <si>
    <t>TRABAJO COMUNAL UNIVERSITARIO</t>
  </si>
  <si>
    <t>EXTENSION ARTISTICA Y CULTURAL</t>
  </si>
  <si>
    <t>TEATRO UNIVERSITARIO</t>
  </si>
  <si>
    <t>EXTENSION CULTURAL</t>
  </si>
  <si>
    <t>SERVICIOS DE APOYO ACCION SOCIAL</t>
  </si>
  <si>
    <t>UNIDADES (VIC. ACCION SOCIAL)</t>
  </si>
  <si>
    <t>COLECCIONES Y MUSEOS (VIC. ACCION SOC.)</t>
  </si>
  <si>
    <t>03-03-03-03</t>
  </si>
  <si>
    <t>FONDOS CONCURSABLES,SERV APOYO AC SOCIAL</t>
  </si>
  <si>
    <t>EXTENSION DOCENTE</t>
  </si>
  <si>
    <t>UNIDAD EXT.DOCENTE-VIC.ACCION SOCIAL</t>
  </si>
  <si>
    <t>CENTRO INFANTIL LABORATORIO</t>
  </si>
  <si>
    <t>PROYECTOS DE ACCION SOCIAL</t>
  </si>
  <si>
    <t>COMPROMISOS ACCION SOCIAL</t>
  </si>
  <si>
    <t>VIDA ESTUDIANTIL</t>
  </si>
  <si>
    <t>SERVICIOS DE APOYO DE VIDA ESTUDIANTIL</t>
  </si>
  <si>
    <t>PROCESO DE ADMISION</t>
  </si>
  <si>
    <t>GRUPOS CULTURALES Y DEPORTES</t>
  </si>
  <si>
    <t>Cursos Especiales</t>
  </si>
  <si>
    <t>CLASE</t>
  </si>
  <si>
    <t>Planta Física</t>
  </si>
  <si>
    <t>01-04-05-07</t>
  </si>
  <si>
    <t>01-04-05-08</t>
  </si>
  <si>
    <t>01-05</t>
  </si>
  <si>
    <t>01-05-02</t>
  </si>
  <si>
    <t>01-05-02-02</t>
  </si>
  <si>
    <t>01-05-02-03</t>
  </si>
  <si>
    <t>01-01</t>
  </si>
  <si>
    <t>01-01-09</t>
  </si>
  <si>
    <t>Renta de Activos Financieros</t>
  </si>
  <si>
    <t>Intereses sobre Títulos Valores</t>
  </si>
  <si>
    <t>Intereses sobre Títulos Valores de Inst. Públicas Financ.</t>
  </si>
  <si>
    <t>Intereses y Comisiones sobre Préstamos</t>
  </si>
  <si>
    <t>Intereses y Comisiones sobre Préstamos al Sector Priv.</t>
  </si>
  <si>
    <t>Otras Rentas de Activos Financieros</t>
  </si>
  <si>
    <t>Multas y Sanciones</t>
  </si>
  <si>
    <t>Deudas de Biblioteca</t>
  </si>
  <si>
    <t>Recargos por Matrícula</t>
  </si>
  <si>
    <t>Reintegros en Efectivo</t>
  </si>
  <si>
    <t>Ingresos Varios no Especificados</t>
  </si>
  <si>
    <t>Indemnizaciones del INS</t>
  </si>
  <si>
    <t>INGRESOS DE CAPITAL</t>
  </si>
  <si>
    <t>02-01-16</t>
  </si>
  <si>
    <t>02-02-37</t>
  </si>
  <si>
    <t>03-03-03-01</t>
  </si>
  <si>
    <t>03-03-03-02</t>
  </si>
  <si>
    <t>04-11</t>
  </si>
  <si>
    <t>SOPORTE PROGRAMA INVESTIGACION</t>
  </si>
  <si>
    <t>LABORATORIO ANALISIS DE CALIDAD - CIGRAS</t>
  </si>
  <si>
    <t>03-98-03-04</t>
  </si>
  <si>
    <t>USO INSTALACIONES DEPORTIVAS - SRO</t>
  </si>
  <si>
    <t>07-98-03-02</t>
  </si>
  <si>
    <t>ESC.CIENCIAS COMPUTACION E INFORMATICA</t>
  </si>
  <si>
    <t>ESCUELA DE INGENIERIA TOPOGRAFICA</t>
  </si>
  <si>
    <t>AREA DE CIENCIAS AGROALIMENTARIAS</t>
  </si>
  <si>
    <t>FACULTAD DE CIENCIAS AGROALIMENTARIAS</t>
  </si>
  <si>
    <t>ESCUELA DE ECONOMIA ARICOLA Y AGRONEGOC.</t>
  </si>
  <si>
    <t>ESCUELA DE AGRONOMIA</t>
  </si>
  <si>
    <t>ESCUELA DE ZOOTECNIA</t>
  </si>
  <si>
    <t>ESCUELA DE TECNOLOGIA EN ALIMENTOS</t>
  </si>
  <si>
    <t>COMPROMISOS DOCENCIA</t>
  </si>
  <si>
    <t>INVESTIGACION</t>
  </si>
  <si>
    <t>APOYO A LA INVESTIGACION</t>
  </si>
  <si>
    <t>SERV.DE APOYO-VICERRECTORIA INVESTIGACIO</t>
  </si>
  <si>
    <t>UNIDADES (VIC. INVESTIGACION)</t>
  </si>
  <si>
    <t>COLECCIONES Y MUSEOS (VIC. INVESTIG.)</t>
  </si>
  <si>
    <t>PROGRAMAS ESPECIALES</t>
  </si>
  <si>
    <t>PROYECTOS DE INVESTIGACION VIC.INVESTIGA</t>
  </si>
  <si>
    <t>ESTACION EXPERIMENTAL FABIO BAUDRIT M.</t>
  </si>
  <si>
    <t>ESTACION EXPERIMENTAL ALFREDO VOLIO MATA</t>
  </si>
  <si>
    <t>LABORATORIOS DE ENSAYOS BIOLOGICOS</t>
  </si>
  <si>
    <t>FINCA EXPERIMENTAL SANTA ANA</t>
  </si>
  <si>
    <t>OBSERVATORIO DEL DESARROLLO</t>
  </si>
  <si>
    <t>LABORATORIO MATERIALES Y MODELOS ESTRUCT</t>
  </si>
  <si>
    <t>CENTROS E INSTITUTOS DE INVESTIGACION</t>
  </si>
  <si>
    <t>CENTRO INV.EN BIOLOGIA CELULAR Y MOLECUL</t>
  </si>
  <si>
    <t>CENTRO INV.CIENCIAS DEL MAR Y LIMNOLOGIA</t>
  </si>
  <si>
    <t>CENTRO INV.ELECTROQUIMICA Y ENERG.QUIMIC</t>
  </si>
  <si>
    <t>CTRO INV. HEMATOLOGIA Y TRANSTORNOS AFIN</t>
  </si>
  <si>
    <t>CTRO.INVESTIGACION PRODUCTOS NATURALES</t>
  </si>
  <si>
    <t>CENTRO DE INVESTIGACIONES GEOFISICA</t>
  </si>
  <si>
    <t>CENTRO DE INV.EN ENFERMEDADES TROPICALES</t>
  </si>
  <si>
    <t>Mantenimiento De Instalac. Y Otras Obras</t>
  </si>
  <si>
    <t>Mantenimiento Y Reparac. De Equip.Transp</t>
  </si>
  <si>
    <t>Mantenimiento Y Reparac. Equipo Comunic</t>
  </si>
  <si>
    <t>Mantenimiento Y Reparac. Equipo Mob.Ofic</t>
  </si>
  <si>
    <t>Manten.Y Reparac.Equip Comput Y Sist Inf</t>
  </si>
  <si>
    <t>Mantenimiento Y Reparac.De Otros Equipos</t>
  </si>
  <si>
    <t>Servicios Diversos</t>
  </si>
  <si>
    <t>Otros Servicios No Especificados</t>
  </si>
  <si>
    <t>07-98-01</t>
  </si>
  <si>
    <t>07-98-01-01</t>
  </si>
  <si>
    <t>PROGRAMAS ODONTOLOGICOS SAN RAMON</t>
  </si>
  <si>
    <t>07-98-01-02</t>
  </si>
  <si>
    <t>SERVICIOS SEDE REGIONAL DE OCCIDENTE</t>
  </si>
  <si>
    <t>07-98-01-05</t>
  </si>
  <si>
    <t>07-98-01-06</t>
  </si>
  <si>
    <t>RESERVA BIOLOGICA ALBERTO ML. BRENES</t>
  </si>
  <si>
    <t>MUSEO DE SAN RAMON Y LA COMUNIDAD</t>
  </si>
  <si>
    <t>07-98-02</t>
  </si>
  <si>
    <t>07-98-03</t>
  </si>
  <si>
    <t>07-98-03-01</t>
  </si>
  <si>
    <t>EDUCACION CONTINUA EN ESTADISTICA</t>
  </si>
  <si>
    <t>MAESTRIA EN ARQUITECTURA</t>
  </si>
  <si>
    <t>Otros Ingresos Tributarios</t>
  </si>
  <si>
    <t>02-01-19</t>
  </si>
  <si>
    <t>03-97-03-47</t>
  </si>
  <si>
    <t>CONVERSACION INGLESA TOEFL</t>
  </si>
  <si>
    <t>03-97-03-58</t>
  </si>
  <si>
    <t>03-97-03-65</t>
  </si>
  <si>
    <t>CURSOS LIBRES SEDE REGIONAL OCCIDENTE</t>
  </si>
  <si>
    <t>MAESTRIA EN DIPLOMACIA</t>
  </si>
  <si>
    <t>03-97-99</t>
  </si>
  <si>
    <t>02-02-41</t>
  </si>
  <si>
    <t>01-96</t>
  </si>
  <si>
    <t>02-01-02-04</t>
  </si>
  <si>
    <t>02-01-18</t>
  </si>
  <si>
    <t>02-02-38</t>
  </si>
  <si>
    <t>02-02-39</t>
  </si>
  <si>
    <t>02-02-40</t>
  </si>
  <si>
    <t>02-96</t>
  </si>
  <si>
    <t>03-96</t>
  </si>
  <si>
    <t>04-96</t>
  </si>
  <si>
    <t>05-96</t>
  </si>
  <si>
    <t>06-96</t>
  </si>
  <si>
    <t>07-96</t>
  </si>
  <si>
    <t>06-08-01</t>
  </si>
  <si>
    <t>06-08-02</t>
  </si>
  <si>
    <t>06-08-02-02</t>
  </si>
  <si>
    <t xml:space="preserve">FONDOS </t>
  </si>
  <si>
    <t>FONDOS DEL</t>
  </si>
  <si>
    <t>INTRAPROYECTOS</t>
  </si>
  <si>
    <t xml:space="preserve"> SISTEMA (CONARE)</t>
  </si>
  <si>
    <t>Vías de Comunicación Terrestre</t>
  </si>
  <si>
    <t>Equipo de Transporte</t>
  </si>
  <si>
    <t>SERVICIOS</t>
  </si>
  <si>
    <t>BIENES DURADEROS</t>
  </si>
  <si>
    <t>TRANSFERENCIAS CORRIENTES</t>
  </si>
  <si>
    <t>INGRESOS CORRIENTES</t>
  </si>
  <si>
    <t>INGRESOS TRIBUTARIOS</t>
  </si>
  <si>
    <t>Imp. Sobre Bienes y Servicios</t>
  </si>
  <si>
    <t>Imp. Espec.sobre Prod.y Consumo de Bienes y Serv.</t>
  </si>
  <si>
    <t>Imp. Espec.sobre Explotac. Recursos Naturales y Miner.</t>
  </si>
  <si>
    <t>Otros Imptos. Espec. Sobre Producc.y Consumo Bienes</t>
  </si>
  <si>
    <t>Control de Calidad de Alimentos CINA, Ley 6883</t>
  </si>
  <si>
    <t>Timbre de Educación y Cultura</t>
  </si>
  <si>
    <t>INGRESOS NO TRIBUTARIOS</t>
  </si>
  <si>
    <t>Venta de otros Bienes Manufacturados</t>
  </si>
  <si>
    <t>01-98-05</t>
  </si>
  <si>
    <t>01-98-05-02</t>
  </si>
  <si>
    <t>FACULTAD DE ODONTOLOGIA - SERVICIOS</t>
  </si>
  <si>
    <t>01-98-05-05</t>
  </si>
  <si>
    <t>LABORATORIO FISIOLOGICO</t>
  </si>
  <si>
    <t>01-98-05-10</t>
  </si>
  <si>
    <t>SERVICIOS LABORATORIO CONTROL CALIDAD</t>
  </si>
  <si>
    <t>UNIDAD DE AYUDAS AUDIOVISUALES</t>
  </si>
  <si>
    <t>01-08-02-02</t>
  </si>
  <si>
    <t>01-08-02-04</t>
  </si>
  <si>
    <t>01-08-02-05</t>
  </si>
  <si>
    <t>02-01-02-01</t>
  </si>
  <si>
    <t>02-01-02-02</t>
  </si>
  <si>
    <t>Recuperación de Préstamos al Sector Privado</t>
  </si>
  <si>
    <t>Concedidos al Sector Privado</t>
  </si>
  <si>
    <t>FINANCIAMIENTO</t>
  </si>
  <si>
    <t>Superávit Libre</t>
  </si>
  <si>
    <t>Sup/Déficit Acum. Ejercicio Anterior</t>
  </si>
  <si>
    <t>Superávit Específico</t>
  </si>
  <si>
    <t>Fondos Intraproyectos</t>
  </si>
  <si>
    <t>Fondos del Sistema (CONARE)</t>
  </si>
  <si>
    <t>INGRESO</t>
  </si>
  <si>
    <t>ORDINARIO</t>
  </si>
  <si>
    <t>INGRESAR</t>
  </si>
  <si>
    <t>Timbre Topográfico Ley Nº 5361</t>
  </si>
  <si>
    <t>Derechos de Exámenes (Ext. Y Suficiencia)</t>
  </si>
  <si>
    <t>Derechos de Matrícula Corriente</t>
  </si>
  <si>
    <t>Inter.S/ Ctas Corrientes y Otros Depósitos Bcos Estatales</t>
  </si>
  <si>
    <t>Multas, Sanciones, Remates y Confisc.</t>
  </si>
  <si>
    <t>Depósitos Bancarios no Especificados</t>
  </si>
  <si>
    <t>Fondo Estudiantil Apoyo Estudiantes</t>
  </si>
  <si>
    <t>Del Sector Privado</t>
  </si>
  <si>
    <t>Del Sector Externo</t>
  </si>
  <si>
    <t>Otras Transf. Ctes. Del Sector Externo.</t>
  </si>
  <si>
    <t>Superávit Comprometido Leyes, Convenios, Otros</t>
  </si>
  <si>
    <t>Superávit Comprometido Fondos Intraproyectos</t>
  </si>
  <si>
    <t>Superávit Comprometido Fondo del Sistema (CONARE)</t>
  </si>
  <si>
    <t>Superávit Comprometido Cursos Ext. Docente</t>
  </si>
  <si>
    <t>ACTIVO/PATRIMONIO NETO</t>
  </si>
  <si>
    <t>TOTAL ACTIVO/PATRIMONIO NETO</t>
  </si>
  <si>
    <t>TOTAL PASIVO Y ACTIVO/PATRIMONIO NETO</t>
  </si>
  <si>
    <t>FONDOS RESTRINGIDOS</t>
  </si>
  <si>
    <t>Fondos Restringidos</t>
  </si>
  <si>
    <t>CURSOS ESPECIALES</t>
  </si>
  <si>
    <t>03-03-04</t>
  </si>
  <si>
    <t>03-03-04-01</t>
  </si>
  <si>
    <t>03-03-05</t>
  </si>
  <si>
    <t>04</t>
  </si>
  <si>
    <t>04-04</t>
  </si>
  <si>
    <t>04-05</t>
  </si>
  <si>
    <t>04-06</t>
  </si>
  <si>
    <t>04-06-01</t>
  </si>
  <si>
    <t>04-06-02</t>
  </si>
  <si>
    <t>05</t>
  </si>
  <si>
    <t>05-01</t>
  </si>
  <si>
    <t>05-01-01</t>
  </si>
  <si>
    <t>GRUPOS CULTURALES Y DEPORTIVOS SEDES REG</t>
  </si>
  <si>
    <t>OFICINA DE REGISTRO E INFORMACION EST.</t>
  </si>
  <si>
    <t>OF. DE BECAS Y ATENCION SOC.</t>
  </si>
  <si>
    <t>OFICINA DE ORIENTACION</t>
  </si>
  <si>
    <t>OF. DE BIENESTAR Y SALUD</t>
  </si>
  <si>
    <t>PROYECTOS DE VIDA ESTUDIANTIL</t>
  </si>
  <si>
    <t>COMPROMISOS VIDA ESTUDIANTIL</t>
  </si>
  <si>
    <t>ADMINISTRACION</t>
  </si>
  <si>
    <t>SERVICIOS C.E.L.E.Q.</t>
  </si>
  <si>
    <t>SERVICIOS C.I.C.A.</t>
  </si>
  <si>
    <t>CENTRO DE INVESTIGACIONES AGRONOMICAS</t>
  </si>
  <si>
    <t>VENTA DE SUERO -INSTITUTO CLODOMIRO PIC.</t>
  </si>
  <si>
    <t>SERVICIOS DEL C.I.H.A.T.A.</t>
  </si>
  <si>
    <t>EMPRESAS AUXILIARES GLOBAL INVESTIGACION</t>
  </si>
  <si>
    <t>DESARROLLO VINC.EXTERNO ACTIV.PERMANENTE</t>
  </si>
  <si>
    <t>MODULO PRE-NIVEL C.I.L.</t>
  </si>
  <si>
    <t>EMPRESAS AUXILIARES GLOBAL ACCION SOCIAL</t>
  </si>
  <si>
    <t>DESARROLLO VINC. EXT. ACTIV. PERMANENTES</t>
  </si>
  <si>
    <t>ATENCION SOCIO ECONOMICA A ESTUDIANTES</t>
  </si>
  <si>
    <t>RESIDENCIAS ESTUDIANTILES SEDE CENTRAL</t>
  </si>
  <si>
    <t>04-98-02-04</t>
  </si>
  <si>
    <t>MAESTRIA EN GESTION AMBIENT Y ECOTURISMO</t>
  </si>
  <si>
    <t>%</t>
  </si>
  <si>
    <t>Efectivo en Bancos</t>
  </si>
  <si>
    <t>Anualidad</t>
  </si>
  <si>
    <t>Derechos Adquiridos</t>
  </si>
  <si>
    <t>Otras Remuneraciones</t>
  </si>
  <si>
    <t>Jornales</t>
  </si>
  <si>
    <t>Reconocimiento Regional</t>
  </si>
  <si>
    <t>Dietas</t>
  </si>
  <si>
    <t>Servicios Especiales</t>
  </si>
  <si>
    <t>Sobresueldos</t>
  </si>
  <si>
    <t>Alquileres</t>
  </si>
  <si>
    <t>Seguros</t>
  </si>
  <si>
    <t>Otros Servicios</t>
  </si>
  <si>
    <t>Servicios Administrativos</t>
  </si>
  <si>
    <t>Servicios Aduaneros</t>
  </si>
  <si>
    <t>07-98-03-07</t>
  </si>
  <si>
    <t>CURSOS CORTOS SEDE REGIONAL DE LIMON</t>
  </si>
  <si>
    <t>ETAPA BASICA DE MUSICA SEDE REG. LIMON</t>
  </si>
  <si>
    <t>ETAPA BASICA DE MUSICA SEDE REG. ATLANTICO</t>
  </si>
  <si>
    <t>ETAPA BASICA DE MUSICA DE SANTA CRUZ</t>
  </si>
  <si>
    <t>CAPACITACION EN LESCO - CENDEISS</t>
  </si>
  <si>
    <t>APOYO DOCENTE A INSTITUCIONES PUBLICAS</t>
  </si>
  <si>
    <t>UCR - CISCO NETWORKING ACADEMY</t>
  </si>
  <si>
    <t>01-97-02</t>
  </si>
  <si>
    <t>01-97-02-02</t>
  </si>
  <si>
    <t>PROGRAMA FRANCES A DISTANCIA</t>
  </si>
  <si>
    <t>01-97-03</t>
  </si>
  <si>
    <t>01-97-03-02</t>
  </si>
  <si>
    <t>MAESTRIA EN BIBLIOTECOLOGIA</t>
  </si>
  <si>
    <t>01-97-04</t>
  </si>
  <si>
    <t>01-97-04-01</t>
  </si>
  <si>
    <t>01-97-04-03</t>
  </si>
  <si>
    <t>MAESTRIA EN PLANIFICACION CURRICULAR</t>
  </si>
  <si>
    <t>01-97-04-07</t>
  </si>
  <si>
    <t>01-97-04-09</t>
  </si>
  <si>
    <t>MAESTRIA PROFESIONAL EN HISTORIA</t>
  </si>
  <si>
    <t>01-97-04-10</t>
  </si>
  <si>
    <t>01-97-04-14</t>
  </si>
  <si>
    <t>02-98-01-04</t>
  </si>
  <si>
    <t>02-98-01-10</t>
  </si>
  <si>
    <t>ADMINISTRACION E.E.F.B.M.</t>
  </si>
  <si>
    <t>02-98-01-11</t>
  </si>
  <si>
    <t>GRANOS / SEMILLAS E.E.F.B.M.</t>
  </si>
  <si>
    <t>02-98-01-16</t>
  </si>
  <si>
    <t>02-98-01-18</t>
  </si>
  <si>
    <t>02-98-01-19</t>
  </si>
  <si>
    <t>LEY 8114 IMPUESTO SOBRE COMBUSTIBLE CONA</t>
  </si>
  <si>
    <t>02-99-01-32</t>
  </si>
  <si>
    <t>FONDO DE RESERVA PRODUS</t>
  </si>
  <si>
    <t>02-99-02-25</t>
  </si>
  <si>
    <t>APOYO A LOS PROYECTOS DEL CIPROC</t>
  </si>
  <si>
    <t>02-99-02-36</t>
  </si>
  <si>
    <t>RENOVACION DE LA RED DEL LAB ING SISMICA</t>
  </si>
  <si>
    <t>LEY 8114 IMPUESTO SOBRE COMBUSTIBLE CONAVI</t>
  </si>
  <si>
    <t>BECAS MEDIC. Y ODONT. - INVERSION LUIS BERGUER</t>
  </si>
  <si>
    <t>PRESTAMO ESTUD. GOLCHER BARQUIL $4000</t>
  </si>
  <si>
    <t>PROYECCION DEPORTIVA Y ARTISTICA UCR</t>
  </si>
  <si>
    <t>BECAS CLYDE SURGI - COLONES</t>
  </si>
  <si>
    <t>PREMIO FERNANDO SOTO HARRISON</t>
  </si>
  <si>
    <t>IMPRESION LIBRO "QUE PASO EN LOS A?OS 40</t>
  </si>
  <si>
    <t>FONDOS RESTRINGIDOS - GLOBAL DE ACCION SOCIAL</t>
  </si>
  <si>
    <t>FONDOS RESTRINGIDOS - GLOBAL DE DIRECCION SUPERIOR</t>
  </si>
  <si>
    <t>Fondo Especial de Becas-SEP</t>
  </si>
  <si>
    <t>F.D.I. Decanatos-Unidades</t>
  </si>
  <si>
    <t>TOTAL PRESUPUESTO DISTRIBUIDO F.I. :</t>
  </si>
  <si>
    <t>Fondo del Sistema CONARE, Programa Docencia</t>
  </si>
  <si>
    <t>Fondo del Sistema CONARE, Programa Investigación</t>
  </si>
  <si>
    <t>Fondo del Sistema CONARE, Programa Acción Social</t>
  </si>
  <si>
    <t>Fondo del Sistema CONARE, Programa Vida Estudiantil</t>
  </si>
  <si>
    <t>Fondo del Sistema CONARE, Programa de Administración</t>
  </si>
  <si>
    <t>Fondo del Sistema CONARE, Programa Dirección Superior</t>
  </si>
  <si>
    <t>Fondo del Sistema CONARE, Programa Desarrollo Regional</t>
  </si>
  <si>
    <t>% EJECUCIÓN</t>
  </si>
  <si>
    <t>DISPONIBLE</t>
  </si>
  <si>
    <t>REAL + COMPR.</t>
  </si>
  <si>
    <t>Bienes intangibles</t>
  </si>
  <si>
    <t>PROG. POSGRADO FINANCIAM. COMPLEMENTARIO</t>
  </si>
  <si>
    <t>TOTAL EGRESOS PROG. POSG. FINANC. COMPLEMENTARIO</t>
  </si>
  <si>
    <t>TOTAL EGRESOS CAPITALIZABLES - FONDOS PROPIOS</t>
  </si>
  <si>
    <t>TOTAL EGRESOS FONDOS INTRAPROYECTOS</t>
  </si>
  <si>
    <t>TOTAL EGRESOS FONDOS DEL SISTEMA (CONARE)</t>
  </si>
  <si>
    <t>01-99-06-08</t>
  </si>
  <si>
    <t>02-99-02-56</t>
  </si>
  <si>
    <t>03-99-02-10</t>
  </si>
  <si>
    <t>06-99-05-12</t>
  </si>
  <si>
    <t>NUEV ACCES PEATO Y VEHIC P/SEDE DE LIMON</t>
  </si>
  <si>
    <t>APOYO A LA INVESTIG Y ANALISIS REPETITIV</t>
  </si>
  <si>
    <t>VENTA DE PRODUCTOS PROINNOVA</t>
  </si>
  <si>
    <t>SERVICIO DE DOSIMETRIA PERSONAL</t>
  </si>
  <si>
    <t>C.E.D CARRERA DE DISEÑO GRÁFICO</t>
  </si>
  <si>
    <t>03-97-03-88</t>
  </si>
  <si>
    <t>C.E.D. DE LA MAESTRIA DE EVALUACION EDUC</t>
  </si>
  <si>
    <t>FORTALECIMIEN DE  LA SALUD PUBLICA EN CR</t>
  </si>
  <si>
    <t>MAESTRIA PROFESIONAL EN GESTION HOTELERA</t>
  </si>
  <si>
    <t>MAESTRIA DEREC COMUNIT Y DERECHO HUMANO</t>
  </si>
  <si>
    <t>Fuente:</t>
  </si>
  <si>
    <t>02-01-20</t>
  </si>
  <si>
    <t>FINCA EXP. INTERDISCIP. MODEL.AGROECOLOG</t>
  </si>
  <si>
    <t>07-02-02-05</t>
  </si>
  <si>
    <t>RECINTO SANTA CRUZ - ADMINISTRACION</t>
  </si>
  <si>
    <t>07-03-01-06</t>
  </si>
  <si>
    <t>01-98-01</t>
  </si>
  <si>
    <t>02-98-02-25</t>
  </si>
  <si>
    <t>VENTA DE MATERIAL DIDACTICO I.I.P.</t>
  </si>
  <si>
    <t>02-98-02-48</t>
  </si>
  <si>
    <t>02-98-02-49</t>
  </si>
  <si>
    <t>02-98-02-50</t>
  </si>
  <si>
    <t>03-98-03-22</t>
  </si>
  <si>
    <t>07-98-04</t>
  </si>
  <si>
    <t>07-98-04-02</t>
  </si>
  <si>
    <t>ALQ. RESIDENCIAS ESTUD. SEDE REG. LIMON</t>
  </si>
  <si>
    <t>01-99-03</t>
  </si>
  <si>
    <t>EQUIPAM Y FORTAL DE LA RED SISMOLOG NAC</t>
  </si>
  <si>
    <t>FORTAL DEL EQUIPO E INFRAESTRUCT CICANUM</t>
  </si>
  <si>
    <t>02-99-04</t>
  </si>
  <si>
    <t>ASESORIAS TECNICAS Y CONSULTORIAS CICAP</t>
  </si>
  <si>
    <t>OFICINAS COADYUVANTES</t>
  </si>
  <si>
    <t>ACTIVIDADES DE INTERCAMBIO ACADEMICO</t>
  </si>
  <si>
    <t>RED OBSERVATOR DE BUEN PRACT EN DIRECC E</t>
  </si>
  <si>
    <t>01-97-01-47</t>
  </si>
  <si>
    <t>01-97-03-05</t>
  </si>
  <si>
    <t>01-99-95-16</t>
  </si>
  <si>
    <t>01-99-95-26</t>
  </si>
  <si>
    <t>ING. INDUSTRIAL SEDE INTERUNIV. ALAJUELA</t>
  </si>
  <si>
    <t>01-99-94-27</t>
  </si>
  <si>
    <t>ING. MECANICA SEDE INTERUNIV ALAJUELA</t>
  </si>
  <si>
    <t>01-99-94-28</t>
  </si>
  <si>
    <t>03-99-94-36</t>
  </si>
  <si>
    <t>FONDO CENTRALIZADO DE REMANENTES VAS</t>
  </si>
  <si>
    <t>04-99-94-10</t>
  </si>
  <si>
    <t>04-99-94-16</t>
  </si>
  <si>
    <t>Otros Incentivos</t>
  </si>
  <si>
    <t>Material Dañado Y Obsoleto</t>
  </si>
  <si>
    <t>Faltantes De Inventario</t>
  </si>
  <si>
    <t>Transfer. Fondo Solidario Estudiantil</t>
  </si>
  <si>
    <t>Transfer. Corrientes Al Sector Externo</t>
  </si>
  <si>
    <t>Otras Transf.Corrientes Al Sector Exter</t>
  </si>
  <si>
    <t>Nombre de la Cuenta</t>
  </si>
  <si>
    <t>1 año en adelante</t>
  </si>
  <si>
    <t>013-008</t>
  </si>
  <si>
    <t>013-010</t>
  </si>
  <si>
    <t>013-022</t>
  </si>
  <si>
    <t>Pólizas por cobrar</t>
  </si>
  <si>
    <t>013-029</t>
  </si>
  <si>
    <t>Cuentas por cobrar a proveedores</t>
  </si>
  <si>
    <t>013-040</t>
  </si>
  <si>
    <t>Cuentas por cobrar estudiantes</t>
  </si>
  <si>
    <t>013-042</t>
  </si>
  <si>
    <t>013-043</t>
  </si>
  <si>
    <t>013-047</t>
  </si>
  <si>
    <t>013-048</t>
  </si>
  <si>
    <t>013-049</t>
  </si>
  <si>
    <t>013-051</t>
  </si>
  <si>
    <t>013-052</t>
  </si>
  <si>
    <t>013-058</t>
  </si>
  <si>
    <t>013-061</t>
  </si>
  <si>
    <t>013-062</t>
  </si>
  <si>
    <t>013-063</t>
  </si>
  <si>
    <t>013-036</t>
  </si>
  <si>
    <t>017-013</t>
  </si>
  <si>
    <t>017-015</t>
  </si>
  <si>
    <t>017-016</t>
  </si>
  <si>
    <t>017-017</t>
  </si>
  <si>
    <t>017-019</t>
  </si>
  <si>
    <t>Pasivos Diferidos</t>
  </si>
  <si>
    <t>Pasivos diferidos</t>
  </si>
  <si>
    <t>TOTAL FONDOS DEL SISTEMA (CONARE)</t>
  </si>
  <si>
    <t>Recursos Informacion Bibliografica Elect</t>
  </si>
  <si>
    <t>Bienes Preexistentes</t>
  </si>
  <si>
    <t>Edificios Preexistentes</t>
  </si>
  <si>
    <t>Transf.Corrientes A Otras Entidad. Priva</t>
  </si>
  <si>
    <t>Sumas Sin Asignacion Presupuestarias</t>
  </si>
  <si>
    <t>02-01-21</t>
  </si>
  <si>
    <t>RED MUSEO + UCR</t>
  </si>
  <si>
    <t>04-04-02-04</t>
  </si>
  <si>
    <t>01-98-01-04</t>
  </si>
  <si>
    <t>AGROFER COMERC ELECTR DE BIENES AGRICOLA</t>
  </si>
  <si>
    <t>02-98-01-32</t>
  </si>
  <si>
    <t>02-98-01-45</t>
  </si>
  <si>
    <t>DESARR E INVER DE LA ESC ING AGRICOLA</t>
  </si>
  <si>
    <t>02-98-02-52</t>
  </si>
  <si>
    <t>SERVICIOS DE ANALISIS PROTEOMICOS</t>
  </si>
  <si>
    <t>03-98-03-07</t>
  </si>
  <si>
    <t>SERV. ESTADIST. ESPEC.EN EL PROC DE INV</t>
  </si>
  <si>
    <t>03-98-03-23</t>
  </si>
  <si>
    <t>ASESORIA TECNICA Y COSULTORIA DEL CICAP</t>
  </si>
  <si>
    <t>07-98-04-03</t>
  </si>
  <si>
    <t>ALQ.INSTALACIONES DEPORT. SEDE REG.LIMON</t>
  </si>
  <si>
    <t>08-02-01-57</t>
  </si>
  <si>
    <t>TERRENOS</t>
  </si>
  <si>
    <t>08-03</t>
  </si>
  <si>
    <t>MEGA PROYECTOS</t>
  </si>
  <si>
    <t>02-99-04-25</t>
  </si>
  <si>
    <t>APOYO ECON A ESTUD Q TRAB EN PROY INVEST</t>
  </si>
  <si>
    <t>ESTUD TECTONICA ACT Y SIST DE FALL DE AG</t>
  </si>
  <si>
    <t>01-97-01-08</t>
  </si>
  <si>
    <t>01-97-01-09</t>
  </si>
  <si>
    <t>RECUPERACION ACAD.P/ESTUD.SECUNDARIA LIM</t>
  </si>
  <si>
    <t>03-97-03-84</t>
  </si>
  <si>
    <t>NUCLEO DE TECNOLOGIA - ESC.DE ENFERMERIA</t>
  </si>
  <si>
    <t>PROG CAPAC EN GEST DE LA INNOV, PROP INT</t>
  </si>
  <si>
    <t>01-97-01-48</t>
  </si>
  <si>
    <t>MAEST EN GESTION JURIDIC DE LA EDUCACION</t>
  </si>
  <si>
    <t>01-97-01-49</t>
  </si>
  <si>
    <t>MAEST PROF SIST INFOR GEOGRAF T TELEDETE</t>
  </si>
  <si>
    <t>01-97-01-50</t>
  </si>
  <si>
    <t>01-97-03-07</t>
  </si>
  <si>
    <t>MAESTRIA EN DERECHO PUB COMP FRANC-LATIN</t>
  </si>
  <si>
    <t>02-99-95-13</t>
  </si>
  <si>
    <t>CENTRO EN INVESTIGACIONES AGRONOMICAS</t>
  </si>
  <si>
    <t>02-99-95-50</t>
  </si>
  <si>
    <t>CTRO INVEST. Y CAPACITACION ADM PUBLICA</t>
  </si>
  <si>
    <t>06-99-95-06</t>
  </si>
  <si>
    <t>06-99-95-08</t>
  </si>
  <si>
    <t>02-99-94-73</t>
  </si>
  <si>
    <t>FONDO D APOYO DESARROLLO COLAB INTERNACI</t>
  </si>
  <si>
    <t>02-99-94-87</t>
  </si>
  <si>
    <t>PROMOCION DEL ENVEJECIMIENTO ACTIVO</t>
  </si>
  <si>
    <t>DIFUSION INFOR ESTAD NACION A L COM UNIV</t>
  </si>
  <si>
    <t>AULA MOVIL</t>
  </si>
  <si>
    <t>03-99-94-37</t>
  </si>
  <si>
    <t>03-99-94-39</t>
  </si>
  <si>
    <t>03-99-94-45</t>
  </si>
  <si>
    <t>EXITO ACADEMICO (RAMA)</t>
  </si>
  <si>
    <t>06-99-94-11</t>
  </si>
  <si>
    <t>FS P\ ATENDER NECESIDADES INSTITUCIONALE</t>
  </si>
  <si>
    <t xml:space="preserve">Arreglo pago matrícula estudiantes </t>
  </si>
  <si>
    <t xml:space="preserve">Venta bienes y servicios Unidad de Coordinación Editorial </t>
  </si>
  <si>
    <t xml:space="preserve">Cuentas por cobrar varias </t>
  </si>
  <si>
    <t xml:space="preserve">Becas horas asistente y estudiante </t>
  </si>
  <si>
    <t xml:space="preserve">Venta bienes y servicios Fondos Restringidos  </t>
  </si>
  <si>
    <t xml:space="preserve">Venta bienes y servicios Empresas Auxiliares </t>
  </si>
  <si>
    <t>Préstamos a estudiantes largo plazo</t>
  </si>
  <si>
    <t>Reintegro del 20% de beca</t>
  </si>
  <si>
    <t>Préstamos a profesores</t>
  </si>
  <si>
    <t>Préstamos a cobro judicial</t>
  </si>
  <si>
    <t>017-018</t>
  </si>
  <si>
    <t>Girados de más contrato de beca al exterior</t>
  </si>
  <si>
    <t>Incumplimiento de contrato</t>
  </si>
  <si>
    <t>CLASE DE</t>
  </si>
  <si>
    <t>02-02-44</t>
  </si>
  <si>
    <t>CTRO INV TECNOLOGIAS INFORM. Y COMUNIC.</t>
  </si>
  <si>
    <t>02-02-45</t>
  </si>
  <si>
    <t>CENTRO DE INVESTIGACION EN COMUNICACION</t>
  </si>
  <si>
    <t>04-04-03</t>
  </si>
  <si>
    <t>PROGRAMA VOLUNTARIADO VIVE</t>
  </si>
  <si>
    <t>01-98-05-08</t>
  </si>
  <si>
    <t>MAT. DIDACTICO HISTOLOGICO Y ANATOMICO</t>
  </si>
  <si>
    <t>01-98-06</t>
  </si>
  <si>
    <t>01-98-06-05</t>
  </si>
  <si>
    <t>07-98-01-08</t>
  </si>
  <si>
    <t>07-98-04-06</t>
  </si>
  <si>
    <t>CLINICA ODONTOLOGICA SURL</t>
  </si>
  <si>
    <t>REMANENTES DE CONGRESOS MICROBIOLOGICOS</t>
  </si>
  <si>
    <t>PRIMER TALLER CENTROAMERICANO EN LASERES</t>
  </si>
  <si>
    <t>FOMENT EMPREND ADUCAC SUP P/ MEJ INSER P</t>
  </si>
  <si>
    <t>RECON CENT EDUCAT IMPL ACC FAV IGUAL GEN</t>
  </si>
  <si>
    <t>02-99-02-28</t>
  </si>
  <si>
    <t>DES Y OPTIMIZ PROD COSMET A BAS DE LEC C</t>
  </si>
  <si>
    <t>FARMACOGEN: APLICAC Y METD PAIS DESARR</t>
  </si>
  <si>
    <t>02-99-04-46</t>
  </si>
  <si>
    <t>BIOTRANSF SUBP GENER INDUST PROC FRUTAS</t>
  </si>
  <si>
    <t>ASUNTOS CULTURALES FEUCR</t>
  </si>
  <si>
    <t>01-97-02-06</t>
  </si>
  <si>
    <t>BACHILLE EN INGLES MODALIDAD A DISTANCIA</t>
  </si>
  <si>
    <t>01-97-02-07</t>
  </si>
  <si>
    <t>LICENCIA EN ENSEÑ INGLES-FRANC COMO LENG</t>
  </si>
  <si>
    <t>CURSO CENTROA TEORI-PRACT DE BIOLO MOLEC</t>
  </si>
  <si>
    <t>01-97-03-08</t>
  </si>
  <si>
    <t>DOCTORADO EN DERECHO</t>
  </si>
  <si>
    <t>01-97-05-17</t>
  </si>
  <si>
    <t>MAESTRIA EN BIOINFORMATICA</t>
  </si>
  <si>
    <t>01-99-95-07</t>
  </si>
  <si>
    <t>01-99-95-11</t>
  </si>
  <si>
    <t>01-99-94-33</t>
  </si>
  <si>
    <t>DOCTORADO MOVIMIENTO HUMANO</t>
  </si>
  <si>
    <t>SALUD AMBIENTAL Y SANEAMIENTO RURAL CAFE</t>
  </si>
  <si>
    <t>Utiles Y Materiales De Inf. Bibliografic</t>
  </si>
  <si>
    <t>APOYO CIBCM - FOTOCOPIADORA</t>
  </si>
  <si>
    <t>TOTAL PRESUPUESTO F.R. :</t>
  </si>
  <si>
    <t>Fondo del Sistema CONARE, Programa Inversiones</t>
  </si>
  <si>
    <t>Recursos Información Bibliográfica</t>
  </si>
  <si>
    <t xml:space="preserve">Salarios girados en exceso funcionarios inactivos </t>
  </si>
  <si>
    <t>013-050</t>
  </si>
  <si>
    <t>017-011</t>
  </si>
  <si>
    <t>Menos: Compromisos presupuestarios</t>
  </si>
  <si>
    <t>CONVENIO CITA-UCR/JAPDEVA</t>
  </si>
  <si>
    <t>02-99-02-35</t>
  </si>
  <si>
    <t>PYMES: ACTIVIDAD DE INVESTIGACION</t>
  </si>
  <si>
    <t>DINAM ACT SISTEM DOS COMP BVRRS Y SIST S</t>
  </si>
  <si>
    <t>02-99-02-79</t>
  </si>
  <si>
    <t>FONDO DE CONTINGENCIAS DEL SEP</t>
  </si>
  <si>
    <t>BUSQ ALTERN DE ENCAD DE AGROIN DE FRIJ R</t>
  </si>
  <si>
    <t>03-99-03-10</t>
  </si>
  <si>
    <t>BECA GUIDO SIBAJA PEREIRA</t>
  </si>
  <si>
    <t>PROYECTOS DE INVERSION, RECTORIA</t>
  </si>
  <si>
    <t>REMANENTES PROYECTOS FINALIZADOS EN FUNDEVI</t>
  </si>
  <si>
    <t>MAESTRIA EN ATENCION FARMACEUTICA</t>
  </si>
  <si>
    <t>Sanciones Administrativas</t>
  </si>
  <si>
    <t>Recursos Vigencias Anteriores / Cheques Prescritos</t>
  </si>
  <si>
    <t>Superávit Específico Megaproyectos</t>
  </si>
  <si>
    <t>DIRECTORIO - FEUCR</t>
  </si>
  <si>
    <t>06-08-02-08</t>
  </si>
  <si>
    <t>PLAN MEJORAMIENTO INSTITUCIONAL</t>
  </si>
  <si>
    <t>01-98-05-03</t>
  </si>
  <si>
    <t>PRUEBAS LABORATORIO CLINICO</t>
  </si>
  <si>
    <t>02-98-02-55</t>
  </si>
  <si>
    <t>ACTUAL PLAN REGUL INTROD INDIC FRAG AMBI</t>
  </si>
  <si>
    <t>08-02-01-34</t>
  </si>
  <si>
    <t>AULAS DEL POSTGRADO EN ARTES</t>
  </si>
  <si>
    <t>08-02-01-37</t>
  </si>
  <si>
    <t>08-02-01-77</t>
  </si>
  <si>
    <t>08-02-01-78</t>
  </si>
  <si>
    <t>CTRO INFANTIL LAB. Y CASA INFANT. - EDIF</t>
  </si>
  <si>
    <t>08-02-01-93</t>
  </si>
  <si>
    <t>OFICINA DE BIENESTAR Y SALUD - EDIFICIO</t>
  </si>
  <si>
    <t>03-99-03</t>
  </si>
  <si>
    <t>05-99-02</t>
  </si>
  <si>
    <t>05-99-99</t>
  </si>
  <si>
    <t>01-97-05-18</t>
  </si>
  <si>
    <t>02-99-95-08</t>
  </si>
  <si>
    <t>CENTRO INVEST. CS DEL MAR Y LIMNOLOGIA</t>
  </si>
  <si>
    <t>02-99-95-27</t>
  </si>
  <si>
    <t>CTRO INVEST ESTRUCTURAS MICROSCOPICAS</t>
  </si>
  <si>
    <t>02-99-93</t>
  </si>
  <si>
    <t>02-99-93-08</t>
  </si>
  <si>
    <t>03-99-94-51</t>
  </si>
  <si>
    <t>RED UNIVERSIT COSTARRI D VIDA SALUDABLE</t>
  </si>
  <si>
    <t>INSCRIP WEB ADM CONJUNTA III ETAPA REGIS</t>
  </si>
  <si>
    <t>04-99-94-17</t>
  </si>
  <si>
    <t>MOVILIDAD ESTUDIANTIL INTERNACIONAL</t>
  </si>
  <si>
    <t>06-99-94-21</t>
  </si>
  <si>
    <t>OTRAS LINEAS ESPECIALES INTERES ESTRATEG</t>
  </si>
  <si>
    <t>08-99-94-03</t>
  </si>
  <si>
    <t>CAMB SIST ILUM 114 124 REM 113 SALA COMP</t>
  </si>
  <si>
    <t>Filial Club De Futbol</t>
  </si>
  <si>
    <t>Sumas Con Destino Espec. Sin Asig.Presup</t>
  </si>
  <si>
    <t>ACTIVIDADES DE FINANCIAMIENTO</t>
  </si>
  <si>
    <t>ACTIVOS</t>
  </si>
  <si>
    <t>Activo Corriente</t>
  </si>
  <si>
    <t>Obras en proceso (construcciones)</t>
  </si>
  <si>
    <t>Otras Cuentas de Patrimonio</t>
  </si>
  <si>
    <t xml:space="preserve">Valuación Estim. Incobrables Cuentas por Cobrar </t>
  </si>
  <si>
    <t>Total Otras Cuentas de Patrimonio</t>
  </si>
  <si>
    <t>CUENTAS DE ORDEN</t>
  </si>
  <si>
    <t>(Finaliza…)</t>
  </si>
  <si>
    <t>Transferencias Corrientes del Sector Privado</t>
  </si>
  <si>
    <t>PLAN DE MEJORAMIENTO INSTITUCIONAL</t>
  </si>
  <si>
    <t>TOTAL PLAN DE MEJORAMIENTO INSTITUCIONAL</t>
  </si>
  <si>
    <t>PROGRAMAS POSGRADO FINANCIAMIENTO COMP.</t>
  </si>
  <si>
    <t>Plan de Mejoramiento Institucional</t>
  </si>
  <si>
    <t>Descuentos por Pronto Pago</t>
  </si>
  <si>
    <t>SERVICIOS  APOYO VICERRECTORIA DOCENCIA</t>
  </si>
  <si>
    <t>LAB.  ANALISIS Y ASESORIA FARMAC. LAYAFA</t>
  </si>
  <si>
    <t>02-02-46</t>
  </si>
  <si>
    <t>CTRO INVESTIG. - DIVERSIDAD CULTURAL Y E</t>
  </si>
  <si>
    <t>02-02-47</t>
  </si>
  <si>
    <t>CTRO INVESTIG. NEUROCIENCIAS (CIN)</t>
  </si>
  <si>
    <t>02-02-48</t>
  </si>
  <si>
    <t>INSTITUTO INVESTIG. EN  ARTE (II ARTE)</t>
  </si>
  <si>
    <t>02-02-49</t>
  </si>
  <si>
    <t>CTRO INVESTIG. EN CS MOV. HUMANO- CIMOHU</t>
  </si>
  <si>
    <t>RECINTO DE  GRECIA</t>
  </si>
  <si>
    <t>07-01-02-04</t>
  </si>
  <si>
    <t>RECINTO DE GRECIA - VIDA ESTUDIANTIL</t>
  </si>
  <si>
    <t>RECINTO  TURRIALBA - DIRECCION SUPERIOR</t>
  </si>
  <si>
    <t>RECINTO PUNTARENAS  - DOCENCIA</t>
  </si>
  <si>
    <t>01-98-04-06</t>
  </si>
  <si>
    <t>02-98-02-60</t>
  </si>
  <si>
    <t>PLAN REG E INDIC FRAGIL AMB P DISTR VEN</t>
  </si>
  <si>
    <t>08-02-01-13</t>
  </si>
  <si>
    <t>DEFENSORIA  HABITANTES - CONSUL. JURIDIC</t>
  </si>
  <si>
    <t>APOYO ACTIVIDADES DE INVESTIGACION CIBCM</t>
  </si>
  <si>
    <t>02-99-02-86</t>
  </si>
  <si>
    <t>02-99-02-89</t>
  </si>
  <si>
    <t>PLATAF BIOCOMPUT ANAL DAT GENOMI (CITIC)</t>
  </si>
  <si>
    <t>CONT HIG CLOST DIF SUP MATE AVANZ (CIET)</t>
  </si>
  <si>
    <t>CONT HIG CLOST DIF SUP MAT AVAN (CICIMA)</t>
  </si>
  <si>
    <t>02-99-02-95</t>
  </si>
  <si>
    <t>DISEÐ IMPL SIST BIODEG PLAG Y OTR CONTAM</t>
  </si>
  <si>
    <t>02-99-02-96</t>
  </si>
  <si>
    <t>PLATAF BIOCOMPUT ANAL DAT GENOMI (CIET)</t>
  </si>
  <si>
    <t>FOND BECAS DE LA RED MACRO UNIVERSIDADES</t>
  </si>
  <si>
    <t>INDENNIZACION A ESTUDIANTES POSG ESP MED</t>
  </si>
  <si>
    <t>FONDO DE CONTINUIDAD DEL CR INNOVA</t>
  </si>
  <si>
    <t>REMAN I PROM  MAEST  SIST DE INFOR GEOGR</t>
  </si>
  <si>
    <t>03-99-02-12</t>
  </si>
  <si>
    <t>FONDO LIQUIDACION PROGRAMA PAIS</t>
  </si>
  <si>
    <t>LEY 6883  CONTROL CALIDAD DE ALIMENTOS</t>
  </si>
  <si>
    <t>03-99-03-12</t>
  </si>
  <si>
    <t>FONDO SOLIDAR CENTR INFANTIL UNIV (CIUS)</t>
  </si>
  <si>
    <t>COMPRA DE VEHICULO ESCUELA DE ZOOTECNIA</t>
  </si>
  <si>
    <t>PRESTAMOS GOLCHER BARGUIL -INVERSION-</t>
  </si>
  <si>
    <t>04-99-03</t>
  </si>
  <si>
    <t>04-99-03-04</t>
  </si>
  <si>
    <t>BECA "COLEG FEDER D INGEN Y ARQUIT CFIA"</t>
  </si>
  <si>
    <t>BECA "ABBOTT VASCULAR LTDA"</t>
  </si>
  <si>
    <t>FONDOS RESTRINGIDOS  - GLOBAL ADMINIST.</t>
  </si>
  <si>
    <t>BECAS CLYDE JHON  SURGI  - INTERESES-</t>
  </si>
  <si>
    <t>LEY  7277: SEDE REGIONAL DE LIMON</t>
  </si>
  <si>
    <t>LA BIBLIOTEC ANTE LA  SOCIEDAD DE LA INF</t>
  </si>
  <si>
    <t>PROG EDUC CONT Y ACTUAL PROF EN PSIC TRA</t>
  </si>
  <si>
    <t>03-97-04-45</t>
  </si>
  <si>
    <t>PROGRAMA VIVIR POR SIEMPRE JOVEN</t>
  </si>
  <si>
    <t>POSGRADO EN  ADMINISTRACION EDUCATIVA</t>
  </si>
  <si>
    <t>POSGRADO ADMINISTRACION Y DIRECCION  EMP</t>
  </si>
  <si>
    <t>01-97-05-07</t>
  </si>
  <si>
    <t>MAESTRIA EN FARMACOPEDENDENCIA</t>
  </si>
  <si>
    <t>01-97-06-08</t>
  </si>
  <si>
    <t>MAESTRIA EN DERECHO PUBLICO</t>
  </si>
  <si>
    <t>01-99-95-44</t>
  </si>
  <si>
    <t>02-99-95-14</t>
  </si>
  <si>
    <t>CENTRO INVEST. EN GRANOS Y SEMILLAS</t>
  </si>
  <si>
    <t>CAPAC EN  INGLES PARA ESTUD Y FUNCIONAR</t>
  </si>
  <si>
    <t>01-99-94-34</t>
  </si>
  <si>
    <t>APERT LIC CARRERA TRAB SOCIAL HUETAR ATL</t>
  </si>
  <si>
    <t>JORNADAS DE INVESTIGACION CONARE</t>
  </si>
  <si>
    <t>02-99-93-24</t>
  </si>
  <si>
    <t>ECOLOGIA VIRUS DEL DENGUE AMB DOMICILIAR</t>
  </si>
  <si>
    <t>02-99-93-25</t>
  </si>
  <si>
    <t>ESTUDIO CARACT MODULAC MUERTE CELULAR IN</t>
  </si>
  <si>
    <t>02-99-93-26</t>
  </si>
  <si>
    <t>MECANISMOS MOLECULARES ADAPT VIDA INTRAC</t>
  </si>
  <si>
    <t>02-99-93-29</t>
  </si>
  <si>
    <t>MONITOREO BOSQUE CR SENSORES REMOTOS CAM</t>
  </si>
  <si>
    <t>02-99-93-33</t>
  </si>
  <si>
    <t>CONFLICTO ENTRE MAPACHES Y HUMANOS</t>
  </si>
  <si>
    <t>FONDO P/ LA ARTICUL D  EXT/ ACC SOC UNIV</t>
  </si>
  <si>
    <t>PROMOCION MEJORA CONTINUA EXT SOCIAL  AS</t>
  </si>
  <si>
    <t>03-99-94-57</t>
  </si>
  <si>
    <t>SUBCOMISION GESTION RIESGO D DESASTRES</t>
  </si>
  <si>
    <t>ARTICUL POLITIC DE ACCESIBILID  EDUC SUP</t>
  </si>
  <si>
    <t>04-99-94-21</t>
  </si>
  <si>
    <t>SISTEMA DE INFORMACION DE BECAS</t>
  </si>
  <si>
    <t>05-99-94-09</t>
  </si>
  <si>
    <t>IMPLEMENT DE MECANISMO DE ADM VEHICULOS</t>
  </si>
  <si>
    <t>05-99-94-10</t>
  </si>
  <si>
    <t>SISTEMA AUTOMATIZADO ENCUESTA SALARIOS</t>
  </si>
  <si>
    <t>06-99-96</t>
  </si>
  <si>
    <t>PLAN DE MEJORAM INSTITUC PROG DIR SUPER</t>
  </si>
  <si>
    <t xml:space="preserve"> 0-01</t>
  </si>
  <si>
    <t xml:space="preserve"> 0-01-01</t>
  </si>
  <si>
    <t xml:space="preserve"> 0-01-01-01</t>
  </si>
  <si>
    <t xml:space="preserve"> 0-01-01-02</t>
  </si>
  <si>
    <t xml:space="preserve"> 0-01-01-04</t>
  </si>
  <si>
    <t xml:space="preserve"> 0-01-02</t>
  </si>
  <si>
    <t xml:space="preserve"> 0-01-02-00</t>
  </si>
  <si>
    <t xml:space="preserve"> 0-01-03</t>
  </si>
  <si>
    <t xml:space="preserve"> 0-01-03-01</t>
  </si>
  <si>
    <t xml:space="preserve"> 0-01-03-02</t>
  </si>
  <si>
    <t xml:space="preserve"> 0-01-04</t>
  </si>
  <si>
    <t xml:space="preserve"> 0-01-04-00</t>
  </si>
  <si>
    <t xml:space="preserve"> 0-01-05</t>
  </si>
  <si>
    <t xml:space="preserve"> 0-01-05-00</t>
  </si>
  <si>
    <t xml:space="preserve"> 0-02</t>
  </si>
  <si>
    <t xml:space="preserve"> 0-02-01</t>
  </si>
  <si>
    <t xml:space="preserve"> 0-02-01-00</t>
  </si>
  <si>
    <t xml:space="preserve"> 0-02-02</t>
  </si>
  <si>
    <t xml:space="preserve"> 0-02-02-00</t>
  </si>
  <si>
    <t xml:space="preserve"> 0-02-05</t>
  </si>
  <si>
    <t xml:space="preserve"> 0-02-05-00</t>
  </si>
  <si>
    <t xml:space="preserve"> 0-03</t>
  </si>
  <si>
    <t xml:space="preserve"> 0-03-01</t>
  </si>
  <si>
    <t xml:space="preserve"> 0-03-01-01</t>
  </si>
  <si>
    <t xml:space="preserve"> 0-03-01-02</t>
  </si>
  <si>
    <t xml:space="preserve"> 0-03-02</t>
  </si>
  <si>
    <t xml:space="preserve"> 0-03-02-00</t>
  </si>
  <si>
    <t xml:space="preserve"> 0-03-03</t>
  </si>
  <si>
    <t xml:space="preserve"> 0-03-03-00</t>
  </si>
  <si>
    <t xml:space="preserve"> 0-03-04</t>
  </si>
  <si>
    <t xml:space="preserve"> 0-03-04-00</t>
  </si>
  <si>
    <t xml:space="preserve"> 0-03-99</t>
  </si>
  <si>
    <t xml:space="preserve"> 0-03-99-01</t>
  </si>
  <si>
    <t xml:space="preserve"> 0-03-99-02</t>
  </si>
  <si>
    <t xml:space="preserve"> 0-03-99-03</t>
  </si>
  <si>
    <t xml:space="preserve"> 0-03-99-04</t>
  </si>
  <si>
    <t xml:space="preserve"> 0-03-99-05</t>
  </si>
  <si>
    <t xml:space="preserve"> 0-04</t>
  </si>
  <si>
    <t xml:space="preserve"> 0-04-01</t>
  </si>
  <si>
    <t xml:space="preserve"> 0-04-01-00</t>
  </si>
  <si>
    <t xml:space="preserve"> 0-04-05</t>
  </si>
  <si>
    <t xml:space="preserve"> 0-04-05-00</t>
  </si>
  <si>
    <t xml:space="preserve"> 0-05</t>
  </si>
  <si>
    <t xml:space="preserve"> 0-05-01</t>
  </si>
  <si>
    <t xml:space="preserve"> 0-05-01-00</t>
  </si>
  <si>
    <t xml:space="preserve"> 0-05-02</t>
  </si>
  <si>
    <t>Aporte Patronal Al Reg. Oblig. Pens Comp</t>
  </si>
  <si>
    <t xml:space="preserve"> 0-05-02-00</t>
  </si>
  <si>
    <t xml:space="preserve"> 0-05-03</t>
  </si>
  <si>
    <t xml:space="preserve"> 0-05-03-00</t>
  </si>
  <si>
    <t xml:space="preserve"> 0-05-05</t>
  </si>
  <si>
    <t xml:space="preserve"> 0-05-05-01</t>
  </si>
  <si>
    <t xml:space="preserve"> 0-05-05-02</t>
  </si>
  <si>
    <t xml:space="preserve"> 0-99</t>
  </si>
  <si>
    <t xml:space="preserve"> 0-99-99</t>
  </si>
  <si>
    <t xml:space="preserve"> 0-99-99-01</t>
  </si>
  <si>
    <t xml:space="preserve"> 0-99-99-02</t>
  </si>
  <si>
    <t xml:space="preserve"> 0-99-99-03</t>
  </si>
  <si>
    <t xml:space="preserve"> 1-01</t>
  </si>
  <si>
    <t xml:space="preserve"> 1-01-01</t>
  </si>
  <si>
    <t xml:space="preserve"> 1-01-01-00</t>
  </si>
  <si>
    <t xml:space="preserve"> 1-01-02</t>
  </si>
  <si>
    <t xml:space="preserve"> 1-01-02-01</t>
  </si>
  <si>
    <t xml:space="preserve"> 1-01-02-02</t>
  </si>
  <si>
    <t xml:space="preserve"> 1-01-03</t>
  </si>
  <si>
    <t xml:space="preserve"> 1-01-03-02</t>
  </si>
  <si>
    <t xml:space="preserve"> 1-01-04</t>
  </si>
  <si>
    <t xml:space="preserve"> 1-01-04-00</t>
  </si>
  <si>
    <t xml:space="preserve"> 1-01-99</t>
  </si>
  <si>
    <t xml:space="preserve"> 1-01-99-00</t>
  </si>
  <si>
    <t xml:space="preserve"> 1-02</t>
  </si>
  <si>
    <t xml:space="preserve"> 1-02-01</t>
  </si>
  <si>
    <t xml:space="preserve"> 1-02-01-00</t>
  </si>
  <si>
    <t xml:space="preserve"> 1-02-02</t>
  </si>
  <si>
    <t xml:space="preserve"> 1-02-02-00</t>
  </si>
  <si>
    <t xml:space="preserve"> 1-02-03</t>
  </si>
  <si>
    <t xml:space="preserve"> 1-02-03-00</t>
  </si>
  <si>
    <t xml:space="preserve"> 1-02-04</t>
  </si>
  <si>
    <t xml:space="preserve"> 1-02-04-00</t>
  </si>
  <si>
    <t xml:space="preserve"> 1-02-99</t>
  </si>
  <si>
    <t xml:space="preserve"> 1-02-99-00</t>
  </si>
  <si>
    <t xml:space="preserve"> 1-03</t>
  </si>
  <si>
    <t xml:space="preserve"> 1-03-01</t>
  </si>
  <si>
    <t xml:space="preserve"> 1-03-01-00</t>
  </si>
  <si>
    <t xml:space="preserve"> 1-03-02</t>
  </si>
  <si>
    <t xml:space="preserve"> 1-03-02-00</t>
  </si>
  <si>
    <t xml:space="preserve"> 1-03-03</t>
  </si>
  <si>
    <t xml:space="preserve"> 1-03-03-00</t>
  </si>
  <si>
    <t xml:space="preserve"> 1-03-04</t>
  </si>
  <si>
    <t xml:space="preserve"> 1-03-04-00</t>
  </si>
  <si>
    <t xml:space="preserve"> 1-03-05</t>
  </si>
  <si>
    <t xml:space="preserve"> 1-03-05-00</t>
  </si>
  <si>
    <t xml:space="preserve"> 1-03-06</t>
  </si>
  <si>
    <t xml:space="preserve"> 1-03-06-00</t>
  </si>
  <si>
    <t xml:space="preserve"> 1-03-07</t>
  </si>
  <si>
    <t xml:space="preserve"> 1-03-07-00</t>
  </si>
  <si>
    <t xml:space="preserve"> 1-04</t>
  </si>
  <si>
    <t xml:space="preserve"> 1-04-01</t>
  </si>
  <si>
    <t xml:space="preserve"> 1-04-01-00</t>
  </si>
  <si>
    <t xml:space="preserve"> 1-04-02</t>
  </si>
  <si>
    <t xml:space="preserve"> 1-04-02-00</t>
  </si>
  <si>
    <t xml:space="preserve"> 1-04-03</t>
  </si>
  <si>
    <t xml:space="preserve"> 1-04-03-00</t>
  </si>
  <si>
    <t xml:space="preserve"> 1-04-04</t>
  </si>
  <si>
    <t xml:space="preserve"> 1-04-04-00</t>
  </si>
  <si>
    <t xml:space="preserve"> 1-04-05</t>
  </si>
  <si>
    <t xml:space="preserve"> 1-04-05-00</t>
  </si>
  <si>
    <t xml:space="preserve"> 1-04-06</t>
  </si>
  <si>
    <t xml:space="preserve"> 1-04-06-00</t>
  </si>
  <si>
    <t xml:space="preserve"> 1-04-99</t>
  </si>
  <si>
    <t xml:space="preserve"> 1-04-99-00</t>
  </si>
  <si>
    <t xml:space="preserve"> 1-05</t>
  </si>
  <si>
    <t xml:space="preserve"> 1-05-01</t>
  </si>
  <si>
    <t xml:space="preserve"> 1-05-01-00</t>
  </si>
  <si>
    <t xml:space="preserve"> 1-05-02</t>
  </si>
  <si>
    <t xml:space="preserve"> 1-05-02-00</t>
  </si>
  <si>
    <t xml:space="preserve"> 1-05-03</t>
  </si>
  <si>
    <t xml:space="preserve"> 1-05-03-00</t>
  </si>
  <si>
    <t xml:space="preserve"> 1-05-04</t>
  </si>
  <si>
    <t xml:space="preserve"> 1-05-04-00</t>
  </si>
  <si>
    <t xml:space="preserve"> 1-06</t>
  </si>
  <si>
    <t xml:space="preserve"> 1-06-01</t>
  </si>
  <si>
    <t xml:space="preserve"> 1-06-01-01</t>
  </si>
  <si>
    <t xml:space="preserve"> 1-06-01-02</t>
  </si>
  <si>
    <t xml:space="preserve"> 1-06-01-03</t>
  </si>
  <si>
    <t xml:space="preserve"> 1-07</t>
  </si>
  <si>
    <t xml:space="preserve"> 1-07-01</t>
  </si>
  <si>
    <t xml:space="preserve"> 1-07-01-00</t>
  </si>
  <si>
    <t xml:space="preserve"> 1-07-02</t>
  </si>
  <si>
    <t xml:space="preserve"> 1-07-02-00</t>
  </si>
  <si>
    <t xml:space="preserve"> 1-07-03</t>
  </si>
  <si>
    <t xml:space="preserve"> 1-07-03-00</t>
  </si>
  <si>
    <t xml:space="preserve"> 1-08</t>
  </si>
  <si>
    <t xml:space="preserve"> 1-08-01</t>
  </si>
  <si>
    <t xml:space="preserve"> 1-08-01-00</t>
  </si>
  <si>
    <t xml:space="preserve"> 1-08-02</t>
  </si>
  <si>
    <t xml:space="preserve"> 1-08-02-00</t>
  </si>
  <si>
    <t xml:space="preserve"> 1-08-03</t>
  </si>
  <si>
    <t xml:space="preserve"> 1-08-03-00</t>
  </si>
  <si>
    <t xml:space="preserve"> 1-08-04</t>
  </si>
  <si>
    <t xml:space="preserve"> 1-08-04-00</t>
  </si>
  <si>
    <t xml:space="preserve"> 1-08-05</t>
  </si>
  <si>
    <t xml:space="preserve"> 1-08-05-00</t>
  </si>
  <si>
    <t xml:space="preserve"> 1-08-06</t>
  </si>
  <si>
    <t xml:space="preserve"> 1-08-06-00</t>
  </si>
  <si>
    <t xml:space="preserve"> 1-08-07</t>
  </si>
  <si>
    <t xml:space="preserve"> 1-08-07-00</t>
  </si>
  <si>
    <t xml:space="preserve"> 1-08-08</t>
  </si>
  <si>
    <t xml:space="preserve"> 1-08-08-00</t>
  </si>
  <si>
    <t xml:space="preserve"> 1-08-99</t>
  </si>
  <si>
    <t xml:space="preserve"> 1-08-99-00</t>
  </si>
  <si>
    <t xml:space="preserve"> 1-99</t>
  </si>
  <si>
    <t xml:space="preserve"> 1-99-99</t>
  </si>
  <si>
    <t xml:space="preserve"> 1-99-99-01</t>
  </si>
  <si>
    <t xml:space="preserve"> 1-99-99-02</t>
  </si>
  <si>
    <t xml:space="preserve"> 1-99-99-03</t>
  </si>
  <si>
    <t xml:space="preserve"> 1-99-99-04</t>
  </si>
  <si>
    <t xml:space="preserve"> 2-01</t>
  </si>
  <si>
    <t xml:space="preserve"> 2-01-01</t>
  </si>
  <si>
    <t xml:space="preserve"> 2-01-01-00</t>
  </si>
  <si>
    <t xml:space="preserve"> 2-01-02</t>
  </si>
  <si>
    <t xml:space="preserve"> 2-01-02-00</t>
  </si>
  <si>
    <t xml:space="preserve"> 2-01-03</t>
  </si>
  <si>
    <t xml:space="preserve"> 2-01-03-00</t>
  </si>
  <si>
    <t xml:space="preserve"> 2-01-04</t>
  </si>
  <si>
    <t xml:space="preserve"> 2-01-04-00</t>
  </si>
  <si>
    <t xml:space="preserve"> 2-01-99</t>
  </si>
  <si>
    <t xml:space="preserve"> 2-01-99-01</t>
  </si>
  <si>
    <t xml:space="preserve"> 2-01-99-02</t>
  </si>
  <si>
    <t xml:space="preserve"> 2-02</t>
  </si>
  <si>
    <t xml:space="preserve"> 2-02-01</t>
  </si>
  <si>
    <t xml:space="preserve"> 2-02-01-00</t>
  </si>
  <si>
    <t xml:space="preserve"> 2-02-02</t>
  </si>
  <si>
    <t xml:space="preserve"> 2-02-02-00</t>
  </si>
  <si>
    <t xml:space="preserve"> 2-02-03</t>
  </si>
  <si>
    <t xml:space="preserve"> 2-02-03-00</t>
  </si>
  <si>
    <t xml:space="preserve"> 2-02-04</t>
  </si>
  <si>
    <t xml:space="preserve"> 2-02-04-00</t>
  </si>
  <si>
    <t xml:space="preserve"> 2-03</t>
  </si>
  <si>
    <t xml:space="preserve"> 2-03-01</t>
  </si>
  <si>
    <t xml:space="preserve"> 2-03-01-00</t>
  </si>
  <si>
    <t xml:space="preserve"> 2-03-02</t>
  </si>
  <si>
    <t xml:space="preserve"> 2-03-02-00</t>
  </si>
  <si>
    <t xml:space="preserve"> 2-03-03</t>
  </si>
  <si>
    <t xml:space="preserve"> 2-03-03-00</t>
  </si>
  <si>
    <t xml:space="preserve"> 2-03-04</t>
  </si>
  <si>
    <t xml:space="preserve"> 2-03-04-00</t>
  </si>
  <si>
    <t xml:space="preserve"> 2-03-05</t>
  </si>
  <si>
    <t xml:space="preserve"> 2-03-05-00</t>
  </si>
  <si>
    <t xml:space="preserve"> 2-03-06</t>
  </si>
  <si>
    <t xml:space="preserve"> 2-03-06-00</t>
  </si>
  <si>
    <t xml:space="preserve"> 2-03-99</t>
  </si>
  <si>
    <t xml:space="preserve"> 2-03-99-00</t>
  </si>
  <si>
    <t xml:space="preserve"> 2-04</t>
  </si>
  <si>
    <t xml:space="preserve"> 2-04-01</t>
  </si>
  <si>
    <t xml:space="preserve"> 2-04-01-00</t>
  </si>
  <si>
    <t xml:space="preserve"> 2-04-02</t>
  </si>
  <si>
    <t xml:space="preserve"> 2-04-02-00</t>
  </si>
  <si>
    <t xml:space="preserve"> 2-99</t>
  </si>
  <si>
    <t xml:space="preserve"> 2-99-01</t>
  </si>
  <si>
    <t xml:space="preserve"> 2-99-01-01</t>
  </si>
  <si>
    <t xml:space="preserve"> 2-99-01-03</t>
  </si>
  <si>
    <t xml:space="preserve"> 2-99-01-04</t>
  </si>
  <si>
    <t xml:space="preserve"> 2-99-01-05</t>
  </si>
  <si>
    <t xml:space="preserve"> 2-99-01-06</t>
  </si>
  <si>
    <t xml:space="preserve"> 2-99-02</t>
  </si>
  <si>
    <t xml:space="preserve"> 2-99-02-00</t>
  </si>
  <si>
    <t xml:space="preserve"> 2-99-03</t>
  </si>
  <si>
    <t xml:space="preserve"> 2-99-03-00</t>
  </si>
  <si>
    <t xml:space="preserve"> 2-99-04</t>
  </si>
  <si>
    <t xml:space="preserve"> 2-99-04-00</t>
  </si>
  <si>
    <t xml:space="preserve"> 2-99-05</t>
  </si>
  <si>
    <t xml:space="preserve"> 2-99-05-00</t>
  </si>
  <si>
    <t xml:space="preserve"> 2-99-06</t>
  </si>
  <si>
    <t xml:space="preserve"> 2-99-06-00</t>
  </si>
  <si>
    <t xml:space="preserve"> 2-99-07</t>
  </si>
  <si>
    <t xml:space="preserve"> 2-99-07-00</t>
  </si>
  <si>
    <t xml:space="preserve"> 2-99-99</t>
  </si>
  <si>
    <t xml:space="preserve"> 2-99-99-01</t>
  </si>
  <si>
    <t xml:space="preserve"> 2-99-99-02</t>
  </si>
  <si>
    <t xml:space="preserve"> 2-99-99-03</t>
  </si>
  <si>
    <t xml:space="preserve"> 2-99-99-04</t>
  </si>
  <si>
    <t xml:space="preserve"> 3-02</t>
  </si>
  <si>
    <t xml:space="preserve"> 3-02-06</t>
  </si>
  <si>
    <t xml:space="preserve"> 3-02-06-00</t>
  </si>
  <si>
    <t xml:space="preserve"> 3-04</t>
  </si>
  <si>
    <t xml:space="preserve"> 3-04-05</t>
  </si>
  <si>
    <t xml:space="preserve"> 3-04-05-00</t>
  </si>
  <si>
    <t xml:space="preserve"> 4-01</t>
  </si>
  <si>
    <t xml:space="preserve"> 4-01-07</t>
  </si>
  <si>
    <t xml:space="preserve"> 4-01-07-01</t>
  </si>
  <si>
    <t xml:space="preserve"> 4-01-07-03</t>
  </si>
  <si>
    <t xml:space="preserve"> 4-01-07-04</t>
  </si>
  <si>
    <t xml:space="preserve"> 5-01</t>
  </si>
  <si>
    <t>Maquinaria, Equipo Y Mobiliario</t>
  </si>
  <si>
    <t xml:space="preserve"> 5-01-01</t>
  </si>
  <si>
    <t xml:space="preserve"> 5-01-01-00</t>
  </si>
  <si>
    <t xml:space="preserve"> 5-01-02</t>
  </si>
  <si>
    <t xml:space="preserve"> 5-01-02-00</t>
  </si>
  <si>
    <t xml:space="preserve"> 5-01-03</t>
  </si>
  <si>
    <t xml:space="preserve"> 5-01-03-00</t>
  </si>
  <si>
    <t xml:space="preserve"> 5-01-04</t>
  </si>
  <si>
    <t xml:space="preserve"> 5-01-04-00</t>
  </si>
  <si>
    <t xml:space="preserve"> 5-01-05</t>
  </si>
  <si>
    <t xml:space="preserve"> 5-01-05-01</t>
  </si>
  <si>
    <t xml:space="preserve"> 5-01-05-02</t>
  </si>
  <si>
    <t xml:space="preserve"> 5-01-06</t>
  </si>
  <si>
    <t xml:space="preserve"> 5-01-06-00</t>
  </si>
  <si>
    <t xml:space="preserve"> 5-01-07</t>
  </si>
  <si>
    <t xml:space="preserve"> 5-01-07-01</t>
  </si>
  <si>
    <t xml:space="preserve"> 5-01-07-02</t>
  </si>
  <si>
    <t xml:space="preserve"> 5-01-07-03</t>
  </si>
  <si>
    <t xml:space="preserve"> 5-01-99</t>
  </si>
  <si>
    <t xml:space="preserve"> 5-01-99-01</t>
  </si>
  <si>
    <t xml:space="preserve"> 5-01-99-02</t>
  </si>
  <si>
    <t xml:space="preserve"> 5-02</t>
  </si>
  <si>
    <t xml:space="preserve"> 5-02-01</t>
  </si>
  <si>
    <t xml:space="preserve"> 5-02-01-00</t>
  </si>
  <si>
    <t xml:space="preserve"> 5-02-02</t>
  </si>
  <si>
    <t xml:space="preserve"> 5-02-02-00</t>
  </si>
  <si>
    <t xml:space="preserve"> 5-02-07</t>
  </si>
  <si>
    <t xml:space="preserve"> 5-02-07-00</t>
  </si>
  <si>
    <t xml:space="preserve"> 5-02-99</t>
  </si>
  <si>
    <t xml:space="preserve"> 5-02-99-00</t>
  </si>
  <si>
    <t xml:space="preserve"> 5-03</t>
  </si>
  <si>
    <t xml:space="preserve"> 5-03-01</t>
  </si>
  <si>
    <t xml:space="preserve"> 5-03-01-00</t>
  </si>
  <si>
    <t xml:space="preserve"> 5-03-02</t>
  </si>
  <si>
    <t xml:space="preserve"> 5-03-02-00</t>
  </si>
  <si>
    <t xml:space="preserve"> 5-99</t>
  </si>
  <si>
    <t xml:space="preserve"> 5-99-03</t>
  </si>
  <si>
    <t xml:space="preserve"> 5-99-03-00</t>
  </si>
  <si>
    <t xml:space="preserve"> 6-02</t>
  </si>
  <si>
    <t xml:space="preserve"> 6-02-01</t>
  </si>
  <si>
    <t xml:space="preserve"> 6-02-01-00</t>
  </si>
  <si>
    <t xml:space="preserve"> 6-02-02</t>
  </si>
  <si>
    <t xml:space="preserve"> 6-02-02-01</t>
  </si>
  <si>
    <t xml:space="preserve"> 6-02-02-02</t>
  </si>
  <si>
    <t xml:space="preserve"> 6-02-02-03</t>
  </si>
  <si>
    <t xml:space="preserve"> 6-02-02-05</t>
  </si>
  <si>
    <t xml:space="preserve"> 6-02-02-06</t>
  </si>
  <si>
    <t xml:space="preserve"> 6-02-02-07</t>
  </si>
  <si>
    <t xml:space="preserve"> 6-02-03</t>
  </si>
  <si>
    <t xml:space="preserve"> 6-02-03-00</t>
  </si>
  <si>
    <t xml:space="preserve"> 6-02-99</t>
  </si>
  <si>
    <t xml:space="preserve"> 6-02-99-01</t>
  </si>
  <si>
    <t xml:space="preserve"> 6-02-99-02</t>
  </si>
  <si>
    <t xml:space="preserve"> 6-02-99-03</t>
  </si>
  <si>
    <t xml:space="preserve"> 6-03</t>
  </si>
  <si>
    <t xml:space="preserve"> 6-03-01</t>
  </si>
  <si>
    <t xml:space="preserve"> 6-03-01-00</t>
  </si>
  <si>
    <t xml:space="preserve"> 6-04</t>
  </si>
  <si>
    <t xml:space="preserve"> 6-04-01</t>
  </si>
  <si>
    <t xml:space="preserve"> 6-04-01-01</t>
  </si>
  <si>
    <t xml:space="preserve"> 6-04-01-02</t>
  </si>
  <si>
    <t xml:space="preserve"> 6-04-01-03</t>
  </si>
  <si>
    <t xml:space="preserve"> 6-04-04</t>
  </si>
  <si>
    <t xml:space="preserve"> 6-04-04-00</t>
  </si>
  <si>
    <t xml:space="preserve"> 6-06</t>
  </si>
  <si>
    <t xml:space="preserve"> 6-06-01</t>
  </si>
  <si>
    <t xml:space="preserve"> 6-06-01-00</t>
  </si>
  <si>
    <t xml:space="preserve"> 6-07</t>
  </si>
  <si>
    <t xml:space="preserve"> 6-07-02</t>
  </si>
  <si>
    <t xml:space="preserve"> 6-07-02-00</t>
  </si>
  <si>
    <t xml:space="preserve"> 8-02</t>
  </si>
  <si>
    <t xml:space="preserve"> 8-02-06</t>
  </si>
  <si>
    <t>Amortiz. De Prestamos A Inst.Publ.Financ</t>
  </si>
  <si>
    <t xml:space="preserve"> 8-02-06-00</t>
  </si>
  <si>
    <t xml:space="preserve"> 9-02</t>
  </si>
  <si>
    <t xml:space="preserve"> 9-02-02</t>
  </si>
  <si>
    <t xml:space="preserve"> 9-02-02-00</t>
  </si>
  <si>
    <t>#</t>
  </si>
  <si>
    <t xml:space="preserve">L. Pública </t>
  </si>
  <si>
    <t xml:space="preserve">Pendiente </t>
  </si>
  <si>
    <t xml:space="preserve">Total </t>
  </si>
  <si>
    <t>Unidad Ejecutora</t>
  </si>
  <si>
    <t>Unid. Ejec: adicionales</t>
  </si>
  <si>
    <t xml:space="preserve">Detalle </t>
  </si>
  <si>
    <t>Área M2</t>
  </si>
  <si>
    <t xml:space="preserve">Tipo de procedimiento </t>
  </si>
  <si>
    <t>No. de Contratación</t>
  </si>
  <si>
    <t>Presupuesto estimado</t>
  </si>
  <si>
    <t xml:space="preserve">Presupuesto asignado </t>
  </si>
  <si>
    <t>Unidad tramitadora</t>
  </si>
  <si>
    <t xml:space="preserve">Proceso </t>
  </si>
  <si>
    <t xml:space="preserve">Observaciones </t>
  </si>
  <si>
    <t xml:space="preserve">Licitación Abreviada </t>
  </si>
  <si>
    <t xml:space="preserve">PENDIENTE </t>
  </si>
  <si>
    <t>OEPI</t>
  </si>
  <si>
    <t>Cartel</t>
  </si>
  <si>
    <t>952</t>
  </si>
  <si>
    <t>2010LA-000001-UADQ</t>
  </si>
  <si>
    <t xml:space="preserve">OSUM </t>
  </si>
  <si>
    <t>OSUM</t>
  </si>
  <si>
    <t xml:space="preserve">Contratación Directa </t>
  </si>
  <si>
    <t>RECINTO DE GRECIA, EDIFICIO ADMINISTRATIVO, ELEVADOR</t>
  </si>
  <si>
    <t>973</t>
  </si>
  <si>
    <t>ESCUELA DE ARTES MUSICALES, LABORATORIO DE INVESTIGACION ELECTROACUSTICA</t>
  </si>
  <si>
    <t>2013LA-000050-000090001</t>
  </si>
  <si>
    <t xml:space="preserve">Presupuesto reservado </t>
  </si>
  <si>
    <t xml:space="preserve">Presupuesto ejecutado </t>
  </si>
  <si>
    <t xml:space="preserve">Saldo total </t>
  </si>
  <si>
    <t>INSTITUTO DE INVESTIGACIONES SOCIALES, EDIFICIO</t>
  </si>
  <si>
    <t xml:space="preserve">Licitación Pública </t>
  </si>
  <si>
    <t>2012LN-000010-UADQ</t>
  </si>
  <si>
    <t xml:space="preserve">FACULTAD DE MEDICINA ESCALERAS DE EMERGENCIA </t>
  </si>
  <si>
    <t>2013LA-000015-0000900001</t>
  </si>
  <si>
    <t xml:space="preserve">MODERNIZACIÓN INSTAL. SEDE REG. OCCIDENTE - REMODELACIÓN DE LABORATORIOS </t>
  </si>
  <si>
    <t>2013LA-000048-0000900001</t>
  </si>
  <si>
    <t>933</t>
  </si>
  <si>
    <t xml:space="preserve">INISA, CONSTRUCCIÓN DEL EDIFICIO </t>
  </si>
  <si>
    <t>2011LN-00002-0000900001</t>
  </si>
  <si>
    <t xml:space="preserve">SEDE REGIONAL DEL ATLÁNTICO, CONSTRUCCIÓN DE MODULO AULAS EDUCACIÓN INDIGENA </t>
  </si>
  <si>
    <t>2013LA-000001-2006SAT</t>
  </si>
  <si>
    <t xml:space="preserve">SEDE REGIONAL DE GUANACASTE, RESIDENCIAS DE SANTA ROSA, COCINA </t>
  </si>
  <si>
    <t>2013CD-000051-0000900001</t>
  </si>
  <si>
    <t>GIMNASIO INSTALACIONES DEPORTIVAS FINCA NO. 3 CAMBIO DE PISO DE MADERA</t>
  </si>
  <si>
    <t>2013LA-000016-0000900001</t>
  </si>
  <si>
    <t>5505</t>
  </si>
  <si>
    <t xml:space="preserve">VICERRECTORÍA DE ACCIÓN SOCIAL, REMODELACIÓN DE OFICINAS </t>
  </si>
  <si>
    <t>2013LA-000014-0000900001</t>
  </si>
  <si>
    <t xml:space="preserve">RESIDENCIAS ESTUDIANTILES, ELEVADOR </t>
  </si>
  <si>
    <t>N/A</t>
  </si>
  <si>
    <t>2013LA-000013-0000900001</t>
  </si>
  <si>
    <t xml:space="preserve">ESCUELA DE QUIMICA, SISTEMA DE CONTENCIÓN DE PROVEEDURIA </t>
  </si>
  <si>
    <t>2012LA-000049-UADQ</t>
  </si>
  <si>
    <t>2013LA-000053-000090001</t>
  </si>
  <si>
    <t xml:space="preserve">FACULTAD DE FARMACIA, BODEGA DE REACTIVOS </t>
  </si>
  <si>
    <t>2013LA-000051-0000900001</t>
  </si>
  <si>
    <t>FACULTAD DE ODONTOLOGÍA, ESCALERAS DE EMERGENCIA</t>
  </si>
  <si>
    <t>2013LA-000008-0000900001</t>
  </si>
  <si>
    <t xml:space="preserve">CENTRO DE INVESTIGACIONES AGRONÓMICAS, ELEVADOR </t>
  </si>
  <si>
    <t>PROYECTOS FINALIZADOS - PENDIENTES DE LIQUIDAR</t>
  </si>
  <si>
    <t>Área en M2</t>
  </si>
  <si>
    <t xml:space="preserve">Monto pendiente de liquidar del adjudicado </t>
  </si>
  <si>
    <t xml:space="preserve">Año de finalización </t>
  </si>
  <si>
    <t>951</t>
  </si>
  <si>
    <t>ARCHIVO INTERMEDIO II ETAPA</t>
  </si>
  <si>
    <t>2011LA-000032-0000900001</t>
  </si>
  <si>
    <t>7316</t>
  </si>
  <si>
    <t xml:space="preserve">FACULTAD DE MICROBIOLOGIA, REMODELACIÓN AUDITORIO  </t>
  </si>
  <si>
    <t>ESCUELA DE QUÍMICA, ACOMETIDA ELECTRICA</t>
  </si>
  <si>
    <t>2013CD-00008-OEPI</t>
  </si>
  <si>
    <t>1519</t>
  </si>
  <si>
    <t>1311</t>
  </si>
  <si>
    <t xml:space="preserve">(Incluye Fondos Intraproyectos, Fondos del Sistema-CONARE y </t>
  </si>
  <si>
    <t>Plan de Mejoramiento Institucional)</t>
  </si>
  <si>
    <t>FORTAL PROC EVALUAC AUTOEVAL AUTORREG RE</t>
  </si>
  <si>
    <t>ESTUD SISTEM SUGER DEL GOLF SANT ELEN</t>
  </si>
  <si>
    <t>MECANISM TOXICID DE FOSFOLIP A2 OFIDICAS</t>
  </si>
  <si>
    <t>DIVERSID ELEMEN GENET MOVIL ASOC RESIS A</t>
  </si>
  <si>
    <t>CULT ROBOT P/MEJOR CALID VIDA COSTA R</t>
  </si>
  <si>
    <t>FONDO SOLIDARIO CENTR INFANT UNIV (CIUS)</t>
  </si>
  <si>
    <t>CARRERA RECREATIVA Y DEPORTIVA UCR</t>
  </si>
  <si>
    <t>01-99-96-000</t>
  </si>
  <si>
    <t>Plan de Mejoramiento Institucional, Programa de Docencia</t>
  </si>
  <si>
    <t>02-99-96-000</t>
  </si>
  <si>
    <t>Plan de Mejoramiento Institucional, Programa de Investigación</t>
  </si>
  <si>
    <t>06-99-96-000</t>
  </si>
  <si>
    <t>Plan de Mejoramiento Institucional, Programa Dirección Superior</t>
  </si>
  <si>
    <t>07-99-96-000</t>
  </si>
  <si>
    <t>Plan de Mejoramiento Institucional, Programa Desarrollo Regional</t>
  </si>
  <si>
    <t>08-99-96-000</t>
  </si>
  <si>
    <t>Plan de Mejoramiento Institucional, Programa de Inversiones</t>
  </si>
  <si>
    <t>TOTAL PRESUPUESTO DISTRIBUIDO P.M.I :</t>
  </si>
  <si>
    <t>Diferencia de ingresos no percibidos y egresos por ejecutar</t>
  </si>
  <si>
    <t>Notas de débito por cheques devueltos</t>
  </si>
  <si>
    <t>013-071</t>
  </si>
  <si>
    <t>Préstamos a estudiantes corto plazo</t>
  </si>
  <si>
    <t>CUENTAS POR COBRAR Y OTROS DEUDORES</t>
  </si>
  <si>
    <t>2015</t>
  </si>
  <si>
    <t>Otras operaciones</t>
  </si>
  <si>
    <t>Salen del patrimonio</t>
  </si>
  <si>
    <t>Estima para inc fond préstamo (-)</t>
  </si>
  <si>
    <t>Prov pérdida inv (-)</t>
  </si>
  <si>
    <t>Estim inc cta cob (-)</t>
  </si>
  <si>
    <t>Aporte capital (+)</t>
  </si>
  <si>
    <t>Inmueble, mobiliario y equipo</t>
  </si>
  <si>
    <t>Mob-equi-maq-veh</t>
  </si>
  <si>
    <t>Inst</t>
  </si>
  <si>
    <t>Edif</t>
  </si>
  <si>
    <t>Terre</t>
  </si>
  <si>
    <t>Obras en proceso</t>
  </si>
  <si>
    <t>Dep de garantía</t>
  </si>
  <si>
    <t>Prog de cómputo</t>
  </si>
  <si>
    <t>Amor act int</t>
  </si>
  <si>
    <t>Inv trans 30/06/15</t>
  </si>
  <si>
    <t>Efectivo bancos</t>
  </si>
  <si>
    <t>Recuperación deudas estudiantiles</t>
  </si>
  <si>
    <t>013-074</t>
  </si>
  <si>
    <t>DOCUMENTOS POR COBRAR SOBRE PRÉSTAMOS A PROFESORES Y ESTUDIANTES</t>
  </si>
  <si>
    <t>INGRESOS POR CLASE BÁSICA</t>
  </si>
  <si>
    <t>Transferencias Corrientes del Sector Público</t>
  </si>
  <si>
    <t>TOTAL FONDOS CORRIENTES PARA OPERACIONES</t>
  </si>
  <si>
    <t>FONDO DE PRÉSTAMOS</t>
  </si>
  <si>
    <t>TOTAL FONDO DE PRÉSTAMOS</t>
  </si>
  <si>
    <t>TOTAL  FONDOS RESTRINGIDOS</t>
  </si>
  <si>
    <t>PROG. POSGRADO FINANCIAMIENTO COMPLEMENTARIO</t>
  </si>
  <si>
    <t>TOTAL PROG. POSGRADO FINANCIAMIENTO COMPLEMENTARIO</t>
  </si>
  <si>
    <t>TOTAL  FONDOS INTRAPROYECTOS</t>
  </si>
  <si>
    <t>TOTAL  FONDOS DEL SISTEMA (CONARE)</t>
  </si>
  <si>
    <t>TOTAL FONDOS RESTRINGIDOS</t>
  </si>
  <si>
    <t>SECCIÓN X</t>
  </si>
  <si>
    <t>TOTAL EGRESOS PLAN DE MEJORAMIENTO INSTITUCIONAL</t>
  </si>
  <si>
    <t>INSTITUCIONAL</t>
  </si>
  <si>
    <t>DERECHO EXAMENES DE LENGUAS MODERNAS</t>
  </si>
  <si>
    <t>PROGR CAPACITACION ESCUELA DE PSICOLOGIA</t>
  </si>
  <si>
    <t>P.E.C. P/DESARR ARTES Y DIS EN CANT AL</t>
  </si>
  <si>
    <t>RECUPERACION ACAD.P/ESTUD.SECUNDARIA LIMON</t>
  </si>
  <si>
    <t>CONVENIO UNIVERSIDADES - USA - ESCUELA FILOLOGIA</t>
  </si>
  <si>
    <t>PROGRAMA ASESORIA, ACT. Y CAPACACITACION</t>
  </si>
  <si>
    <t>NUCLEO DE TECNOLOGIA - ESCUELA DE ENFERMERIA</t>
  </si>
  <si>
    <t>CURSOS EXT.DOC.MAEST.EST.INTER.DISCAPAC.</t>
  </si>
  <si>
    <t>ETAPA BASICA MUSICA-RECINTO DE GUAPILES</t>
  </si>
  <si>
    <t>FISICA NUCLEAR: CHARLAS S/RADIOTERAPIA</t>
  </si>
  <si>
    <t>XII CONG MUND COMPUT AGRIC RECUR NATURAL</t>
  </si>
  <si>
    <t>APORTES VARIOS - ESCUELA HISTORIA  Y GEOGRAFIA</t>
  </si>
  <si>
    <t>DESARROLLO DE FINCA ESCUELA DE ZOOTECNIA</t>
  </si>
  <si>
    <t>MEJOR MODEL EDUC ING INDUS ACUE TEND INT</t>
  </si>
  <si>
    <t>ESTAB SIST ALERT ANT INUND MICROC RIO BU</t>
  </si>
  <si>
    <t>ADMINIST FOND OBTEN MED PREM FUNDA EMIR</t>
  </si>
  <si>
    <t>FORMUL EXFOLIANT PELOIDE CREM D AGUAS TE</t>
  </si>
  <si>
    <t>ESTUDIO DEL POTASIO - CENTRO INVESTIG. AGRONOMICAS</t>
  </si>
  <si>
    <t>EVALUAC TACT INNOV BASAD MICROORG ANTAG</t>
  </si>
  <si>
    <t>PRODUC NUEV VARIANT CAFE MED IND MUT AGE</t>
  </si>
  <si>
    <t>CARACT INESTABIL MUTAC DM1 GEN DMPK ESPR</t>
  </si>
  <si>
    <t>INFOR ANUAL HAC SOCIED DE LA INF Y CONON</t>
  </si>
  <si>
    <t>OPCION REDUC USO AGROQUI POSCOS CUAT FRU</t>
  </si>
  <si>
    <t>CARACT RESP INMUN AVES CORR INMUN ANTIGE</t>
  </si>
  <si>
    <t>EJEC PLAN REGUL E IND FRAG AMB DIST LA FORTUNA</t>
  </si>
  <si>
    <t>TRANSF INTERG ENV POBL Y PROT SOC EN  CR</t>
  </si>
  <si>
    <t>DIVERSIDAD HORMIGAS CORREDOR MESOAMERICA</t>
  </si>
  <si>
    <t>FONDO DE CONTINUIDAD DEL CITA</t>
  </si>
  <si>
    <t>IV CONGRESO INTERNAC: GESTION, INNOVACION, INCLUSION Y GOBER</t>
  </si>
  <si>
    <t>III CONGRESO INTERNACIONAL GERONTOLOGIA</t>
  </si>
  <si>
    <t>ELABOR MEMOR I CONG IBERO PATRIN CULT CR</t>
  </si>
  <si>
    <t>EXPO-UCR 2015</t>
  </si>
  <si>
    <t>BECAS SERVEX</t>
  </si>
  <si>
    <t>BECA DR. JORGE VEGA  MARTINEZ</t>
  </si>
  <si>
    <t>BECAS CLYDE JHON SURGI - APORTE</t>
  </si>
  <si>
    <t>PREMIO FAMILIA  GIROLAMI - APORTE</t>
  </si>
  <si>
    <t>PREMIO FAMILIA  GIROLAMI - INTERESES</t>
  </si>
  <si>
    <t>PROYECTOS DOCENTES - SEDE REGIONAL OCCIDENTE</t>
  </si>
  <si>
    <t>FONDOS RESTRINGIDOS GLOBAL DOCENCIA</t>
  </si>
  <si>
    <t>FONDOS RESTRINGIDOS  - GLOBAL DE VIDA ESTUDIANTIL</t>
  </si>
  <si>
    <t>FONDOS RESTRIGIDOS - GLOBAL DE DESARROLLO REGIONAL</t>
  </si>
  <si>
    <t>VENTA SUBPROD AGRIC PROV RESULT EXP AGRI</t>
  </si>
  <si>
    <t>ASESOR EN ARQUIT, DISEÑ, URBAN Y CONSTRU</t>
  </si>
  <si>
    <t>POSGRADO EN INGENIERIA CIVIL</t>
  </si>
  <si>
    <t>PROG. POSG. FINANC. COMP,GLOBAL DOC.</t>
  </si>
  <si>
    <t>DESCRIPCIÓN</t>
  </si>
  <si>
    <t>01-01-06-01</t>
  </si>
  <si>
    <t>UNIDADES DE SERV. DE APOYO A LA DOCENCIA</t>
  </si>
  <si>
    <t>ESCUELA DE INGENIERIA DE BIOSISTEMAS</t>
  </si>
  <si>
    <t>02-01-22</t>
  </si>
  <si>
    <t>UNIDAD ESP. DE INV. DE AREAS PROTEGIDAS</t>
  </si>
  <si>
    <t>CANAL 15</t>
  </si>
  <si>
    <t>RECINTO DE SAN RAMON</t>
  </si>
  <si>
    <t>RECINTO SAN RAMON - DOCENCIA</t>
  </si>
  <si>
    <t>RECINTO SAN RAMON - INVESTIGACION</t>
  </si>
  <si>
    <t>RECINTO SAN RAMON - ACCION SOCIAL</t>
  </si>
  <si>
    <t>RECINTO SAN RAMON - VIDA ESTUDIANTIL</t>
  </si>
  <si>
    <t>RECINTO SAN RAMON - ADMINISTRACION</t>
  </si>
  <si>
    <t>RECINTO SAN RAMON -DIRECCION SUPERIOR</t>
  </si>
  <si>
    <t>PUBLICACION DE CUADERNOS - ESC. ANT.</t>
  </si>
  <si>
    <t>02-98-02-26</t>
  </si>
  <si>
    <t>APROVECHAMIENTO DE DESECHOS SEDE REG. AT</t>
  </si>
  <si>
    <t>08-02-01-06</t>
  </si>
  <si>
    <t>ESC EDUC FISICA Y DEP. AMPLIACION BIBLIO</t>
  </si>
  <si>
    <t>08-02-01-07</t>
  </si>
  <si>
    <t>INST. CLODOM. PICADO  BODEGA  - COMEDOR</t>
  </si>
  <si>
    <t>08-02-01-08</t>
  </si>
  <si>
    <t>ESC EDUC FISIC, AMPLIACION BODEGAS MATER</t>
  </si>
  <si>
    <t>08-02-01-10</t>
  </si>
  <si>
    <t>08-02-01-14</t>
  </si>
  <si>
    <t>08-02-01-19</t>
  </si>
  <si>
    <t>ESC. ARQ. REMODEL ESPAC ADM Y DOC</t>
  </si>
  <si>
    <t>08-02-01-21</t>
  </si>
  <si>
    <t>08-02-01-25</t>
  </si>
  <si>
    <t>ESCUELA DE ARTES PLASTICAS - EDIFICIO</t>
  </si>
  <si>
    <t>08-02-01-26</t>
  </si>
  <si>
    <t>CIUDAD DE LA INVESTIGACION, SERVIC SANIT</t>
  </si>
  <si>
    <t>08-02-01-30</t>
  </si>
  <si>
    <t>SEDE GUANACASTE PLANTA DE TRATAMIENTO</t>
  </si>
  <si>
    <t>08-02-01-35</t>
  </si>
  <si>
    <t>SEDE REG DEL CARIBE, PLANTA TRATAMIENTO</t>
  </si>
  <si>
    <t>08-02-01-38</t>
  </si>
  <si>
    <t>SEDE RODR. FACIO, PLANTA TRATAM. INIFAR</t>
  </si>
  <si>
    <t>08-02-01-39</t>
  </si>
  <si>
    <t>SEDE REGIONAL DEL ATLANTICO - BIBLIOTECA</t>
  </si>
  <si>
    <t>08-02-01-86</t>
  </si>
  <si>
    <t>INST. CLODOMIRO PICADO - PROYECTOS</t>
  </si>
  <si>
    <t>08-02-01-94</t>
  </si>
  <si>
    <t>FRANJA  INTEGRADORA ESPACIO URB  I ETAPA</t>
  </si>
  <si>
    <t>08-02-01-98</t>
  </si>
  <si>
    <t>ESC. LENGUAS MODERNAS - REMODELACION</t>
  </si>
  <si>
    <t>01-99-01</t>
  </si>
  <si>
    <t>01-99-01-07</t>
  </si>
  <si>
    <t>01-99-01-08</t>
  </si>
  <si>
    <t>01-99-04-16</t>
  </si>
  <si>
    <t>02-99-01-11</t>
  </si>
  <si>
    <t>02-99-01-12</t>
  </si>
  <si>
    <t>02-99-01-13</t>
  </si>
  <si>
    <t>02-99-01-41</t>
  </si>
  <si>
    <t>02-99-02-04</t>
  </si>
  <si>
    <t>02-99-02-40</t>
  </si>
  <si>
    <t>02-99-02-43</t>
  </si>
  <si>
    <t>02-99-02-47</t>
  </si>
  <si>
    <t>02-99-02-49</t>
  </si>
  <si>
    <t>02-99-02-50</t>
  </si>
  <si>
    <t>02-99-02-51</t>
  </si>
  <si>
    <t>02-99-02-52</t>
  </si>
  <si>
    <t>EJEC PLAN REGUL E IND FRAG AMB L FORTUNA</t>
  </si>
  <si>
    <t>02-99-02-97</t>
  </si>
  <si>
    <t>02-99-05</t>
  </si>
  <si>
    <t>02-99-05-01</t>
  </si>
  <si>
    <t>03-99-02-03</t>
  </si>
  <si>
    <t>04-99-02-17</t>
  </si>
  <si>
    <t>03-97-04-46</t>
  </si>
  <si>
    <t>01-99-95-48</t>
  </si>
  <si>
    <t>ESCUELA DE GOEGRAFIA</t>
  </si>
  <si>
    <t>02-99-95-26</t>
  </si>
  <si>
    <t>CTRO INVEST ECONOMIA AGRICOLA Y DES AGRO</t>
  </si>
  <si>
    <t>03-99-95-01</t>
  </si>
  <si>
    <t>06-99-95-07</t>
  </si>
  <si>
    <t>06-99-95-13</t>
  </si>
  <si>
    <t>OFICINA DE ASUNTOS INTERNACIONALES</t>
  </si>
  <si>
    <t>02-99-93-37</t>
  </si>
  <si>
    <t>DESARROL VACUNA CONTRA BRUCELOSIS CANINA</t>
  </si>
  <si>
    <t>02-99-93-38</t>
  </si>
  <si>
    <t>HUERTOS MIXTOS FAMILIARES D RECUR FITOGE</t>
  </si>
  <si>
    <t>02-99-93-39</t>
  </si>
  <si>
    <t>CERRANDO BRECHA DIAG.ENFERM. INFECC Y DI</t>
  </si>
  <si>
    <t>02-99-93-40</t>
  </si>
  <si>
    <t>FACT CONTRIBU EMISION GASES EFECT INVERN</t>
  </si>
  <si>
    <t>02-99-93-41</t>
  </si>
  <si>
    <t>CARACTER RESP INMUNE AVES CORRAL INMUNIZ</t>
  </si>
  <si>
    <t>02-99-93-42</t>
  </si>
  <si>
    <t>PARASITISMO LETAL CONSUMO CANGREJO Y CAM</t>
  </si>
  <si>
    <t>02-99-93-46</t>
  </si>
  <si>
    <t>SUBCOMISION INDICADORES INVEST UNIVERSIT</t>
  </si>
  <si>
    <t>02-99-93-47</t>
  </si>
  <si>
    <t>EVALU INTERACC ENTRE FACTORES PROTEICOS</t>
  </si>
  <si>
    <t>02-99-93-49</t>
  </si>
  <si>
    <t>GRADO VULNERABILIDAD REDES PLANTA POLINI</t>
  </si>
  <si>
    <t>MEJORAM NIVEL PUBLICA Y DIVUL PROD CIENT</t>
  </si>
  <si>
    <t>FORTALEC EMPRESAS COMUNIT CUENC PACUARE</t>
  </si>
  <si>
    <t>03-99-94-58</t>
  </si>
  <si>
    <t>MEJORAMI APTITUDES ACADEM ESTUD 5 COLEGI</t>
  </si>
  <si>
    <t>03-99-94-60</t>
  </si>
  <si>
    <t>MUJERES DL CAMPO TIERRA DERECH EXPRESION</t>
  </si>
  <si>
    <t>03-99-94-63</t>
  </si>
  <si>
    <t>BIOTECNOLOGIA PARA TODOS: SOCIALIZACION</t>
  </si>
  <si>
    <t>04-99-94-03</t>
  </si>
  <si>
    <t>COMI DEP FECUNDE PROG NAC &amp; PARTIC INTER</t>
  </si>
  <si>
    <t>04-99-94-08</t>
  </si>
  <si>
    <t>DESARROLLO ARTISTICO INTEGRAL ESTUD UNIV</t>
  </si>
  <si>
    <t>RED ESTATAL UNIV VOLUNTARIADO ESTUDIANTI</t>
  </si>
  <si>
    <t>05-99-94-11</t>
  </si>
  <si>
    <t>PREPARACION A LA JUBILACION 2015.</t>
  </si>
  <si>
    <t>05-99-94-12</t>
  </si>
  <si>
    <t>06-99-94-23</t>
  </si>
  <si>
    <t>MOVILIDAD ESTUDIANTIL PARA GRUPOS ACADEM</t>
  </si>
  <si>
    <t>06-99-94-24</t>
  </si>
  <si>
    <t>CAPACTAC ACTUALIZAC PERSONAL OPLAU</t>
  </si>
  <si>
    <t>02-99-92</t>
  </si>
  <si>
    <t>PLAN DE MEJORAM INSTITUC PROG INVESTIGAC</t>
  </si>
  <si>
    <t>02-99-96</t>
  </si>
  <si>
    <t>02-99-96-02</t>
  </si>
  <si>
    <t>FORTALEC D LABORAT D HRDRAUIL Y MACATRON</t>
  </si>
  <si>
    <t>02-99-96-03</t>
  </si>
  <si>
    <t>FORTALECIMIENTO DEL CITA</t>
  </si>
  <si>
    <t>02-99-96-06</t>
  </si>
  <si>
    <t>CREACION DEL RIDER</t>
  </si>
  <si>
    <t>02-99-96-08</t>
  </si>
  <si>
    <t>FORTALEC CENTRO DE INVEST EN NEUROCIENC</t>
  </si>
  <si>
    <t>02-99-96-09</t>
  </si>
  <si>
    <t>FORTALC CICANUM (ADQ CICLOTRON Y PET/CT)</t>
  </si>
  <si>
    <t>06-99-92</t>
  </si>
  <si>
    <t>06-99-96-01</t>
  </si>
  <si>
    <t>CUBRE GASTOS REQUER P CUALQ INICIATIVA</t>
  </si>
  <si>
    <t>07-99-92</t>
  </si>
  <si>
    <t>PLAN DE MEJORAM INSTITUC PROG DESAR REGI</t>
  </si>
  <si>
    <t>07-99-96</t>
  </si>
  <si>
    <t>07-99-96-05</t>
  </si>
  <si>
    <t>SEDE REG ATLANTICO AULAS Y LABORATORIOS</t>
  </si>
  <si>
    <t>08-99-92</t>
  </si>
  <si>
    <t>PLAN DE MEJORAM INSTITUC PROG INVERSIONE</t>
  </si>
  <si>
    <t>08-99-96</t>
  </si>
  <si>
    <t>08-99-96-01</t>
  </si>
  <si>
    <t>SEDE REG PACIF AUL Y LABORAT-PROG INVER-</t>
  </si>
  <si>
    <t>08-99-96-02</t>
  </si>
  <si>
    <t>SEDE REG OCCI  AUL Y LABORAT-PROG INVER-</t>
  </si>
  <si>
    <t>08-99-96-03</t>
  </si>
  <si>
    <t>SEDE REG GUAN  AUL Y LABORAT-PROG INVER-</t>
  </si>
  <si>
    <t>08-99-96-04</t>
  </si>
  <si>
    <t>SEDE REG CARI  AUL Y LABORAT-PROG INVER-</t>
  </si>
  <si>
    <t>08-99-96-05</t>
  </si>
  <si>
    <t>SEDE REG ATLA  AUL Y LABORAT-PROG INVER-</t>
  </si>
  <si>
    <t>08-99-96-06</t>
  </si>
  <si>
    <t>FORTAL ESCUELA  BIOLOGIA-PROG INVERSION-</t>
  </si>
  <si>
    <t>08-99-96-07</t>
  </si>
  <si>
    <t>FORTALECIMIEN DEL CIMOHU-PROG INVERSION-</t>
  </si>
  <si>
    <t>08-99-96-08</t>
  </si>
  <si>
    <t>FORTAL ESC ARTES MUSICAL-PROG INVERSION-</t>
  </si>
  <si>
    <t>08-99-96-10</t>
  </si>
  <si>
    <t>FORTAL ESC TECNOL ALIMENTOS-PROG INVERS-</t>
  </si>
  <si>
    <t>08-99-96-11</t>
  </si>
  <si>
    <t>DESCONC CARRER TEC  ALIM SRG-PROG INVER-</t>
  </si>
  <si>
    <t>08-99-96-13</t>
  </si>
  <si>
    <t>FORTALECIMIENTO DEL CICIMA-PROG INVERS-</t>
  </si>
  <si>
    <t>08-99-96-14</t>
  </si>
  <si>
    <t>FORTALECIMIENTO DEL CICA-PROG INVERS-</t>
  </si>
  <si>
    <t>08-99-96-15</t>
  </si>
  <si>
    <t>FORTALEC ESC SALUD PUBLICA-PROG INVERS-</t>
  </si>
  <si>
    <t>08-99-96-16</t>
  </si>
  <si>
    <t>FORTALEC ESC TECNOLOG SALUD-PROG INVERS-</t>
  </si>
  <si>
    <t>08-99-96-17</t>
  </si>
  <si>
    <t>DESC CARR TECN SALUD (AMBIENT)-PROG INV-</t>
  </si>
  <si>
    <t>08-99-96-18</t>
  </si>
  <si>
    <t>CREAC CENT DIAGN CANC SIMUL-PROG INVER-</t>
  </si>
  <si>
    <t>08-99-96-19</t>
  </si>
  <si>
    <t>FORTALEC CENTR INVEST NEUROC-PROG INVER-</t>
  </si>
  <si>
    <t>08-99-96-20</t>
  </si>
  <si>
    <t>FORTALEC CICANUM CICLOT Y PET/CT-PROG I-</t>
  </si>
  <si>
    <t>08-99-96-22</t>
  </si>
  <si>
    <t>URBANIZACION (GASTOS GENERAL)-PROG INVE-</t>
  </si>
  <si>
    <t xml:space="preserve"> 0-01-03-03</t>
  </si>
  <si>
    <t>Salario Contractual Posgrado</t>
  </si>
  <si>
    <t xml:space="preserve"> 3-02-07</t>
  </si>
  <si>
    <t>Intereses Sobre Prestamos Sector Privado</t>
  </si>
  <si>
    <t xml:space="preserve"> 3-02-07-00</t>
  </si>
  <si>
    <t xml:space="preserve"> 6-01</t>
  </si>
  <si>
    <t>Transferencias Corrientes Al Sector Publ</t>
  </si>
  <si>
    <t xml:space="preserve"> 6-01-03</t>
  </si>
  <si>
    <t>Transf. Ctes A Instit.Descent. No Empres</t>
  </si>
  <si>
    <t xml:space="preserve"> 6-01-03-01</t>
  </si>
  <si>
    <t>Transferencias Universidad Nacional</t>
  </si>
  <si>
    <t xml:space="preserve"> 8-02-07</t>
  </si>
  <si>
    <t xml:space="preserve"> 8-02-07-00</t>
  </si>
  <si>
    <t>+ AUMENTOS</t>
  </si>
  <si>
    <t>- DISMINUCIONES</t>
  </si>
  <si>
    <t>Imp. Espec.sobre Prod.y Consumo de Bienes</t>
  </si>
  <si>
    <t>Ley de Pesca No. 8436</t>
  </si>
  <si>
    <t>Ingresos Tributarios Diversos</t>
  </si>
  <si>
    <t>Alquiler de Edificios e Instalaciones</t>
  </si>
  <si>
    <t>Servicios Médico-Asistenciales</t>
  </si>
  <si>
    <t>Servicios de Publicidad e Impresión</t>
  </si>
  <si>
    <t>Venta de Servicios Fdos. Rest.</t>
  </si>
  <si>
    <t>1.3.1.2.09.09.8.0.000</t>
  </si>
  <si>
    <t>Otras Multas</t>
  </si>
  <si>
    <t>Otros Ingresos</t>
  </si>
  <si>
    <t>Cheques prescritos</t>
  </si>
  <si>
    <t>Superávit Compromisos Fondos Corrientes</t>
  </si>
  <si>
    <t>Transferencias Corrientes a Personas (Sistema de Becas)</t>
  </si>
  <si>
    <t>ESCUELA DE EDUCACIÓN FÍSICA Y DEPORTES, AMPLIACIÓN DE LA BIBLIOTECA</t>
  </si>
  <si>
    <t>L.Abreviada</t>
  </si>
  <si>
    <t>R-416-2015</t>
  </si>
  <si>
    <t>INSTITUTO CLODOMIRO PICADO, BODEGAS, COMEDEROS PARA CABALLOS Y PLANTA DE TRATAMIENTO</t>
  </si>
  <si>
    <t>P.DEF</t>
  </si>
  <si>
    <t>ESCUELA DE EDUCACIÓN FÍSICA Y DEPORTES, AMPLIACIÓN DE LAS BODEGAS DE MATERIAL DEPORTIVO</t>
  </si>
  <si>
    <t>909 -1044</t>
  </si>
  <si>
    <t xml:space="preserve">SEDE DEL CARIBE, EDIFICIO DE AULAS </t>
  </si>
  <si>
    <t>ESCUELA DE ARTES PLÁSTICAS, TALLER DE FUNDACIÓN(HORNOS)</t>
  </si>
  <si>
    <t>ESCUELA DE ARQUITECTURA, REMODELACIÓN DE ESPACIOS ADMINISTRATIVOS Y DOCENTES</t>
  </si>
  <si>
    <t>R-691-2014</t>
  </si>
  <si>
    <t>RECINTO DE PARAÍSO, PABELLÓN DE AULAS Y SERVICIOS SANITARIOS, AREA DE RECRECIÓN Y ODONTOLOGÍA, BODEGA DE SUMINISTROS Y GIMNASIO</t>
  </si>
  <si>
    <t xml:space="preserve">SEDE REGIONAL DE OCCIDENTE, READECUACIÓN ELÉCTRICA DE RESIDENCIAS </t>
  </si>
  <si>
    <t xml:space="preserve">ESCUELA DE ARTES PLÁSTICAS, EDIFICIO </t>
  </si>
  <si>
    <t xml:space="preserve">CIUDAD DE LA INVESTIGACIÓN, SERVICIOS SANITARIOS </t>
  </si>
  <si>
    <t>SEDE REGIONAL DE GUANACASTE, REMODELACIÓN ELÉCTRICA DE LA BIBLIOTECA</t>
  </si>
  <si>
    <t xml:space="preserve">C. Directa </t>
  </si>
  <si>
    <t>SEDE DEL ATLANTICO, REMODELACIÓN Y AMPLIACION BIBLIOTECA</t>
  </si>
  <si>
    <t>L.Pública</t>
  </si>
  <si>
    <t xml:space="preserve">SEDE REGIONAL DEL PACÍFICO, AULAS ANEXAS AL EDIFICIO DEL BANCO MUNDIAL </t>
  </si>
  <si>
    <t xml:space="preserve">FACULTAD DE LETRAS, REMODELACIÓN ELÉCTRICA </t>
  </si>
  <si>
    <t>SEDE REGIONAL DE GUANACASTE, SANITARIOS PARA COMEDOR</t>
  </si>
  <si>
    <t>INSTITUTO CLODOMIRO PICADO, BIOTERIO</t>
  </si>
  <si>
    <t>SEDE DEL ATLÁNTICO, REMODELACIÓN DE INSTALACIÓN, PISCINA PEDAGÓGICA</t>
  </si>
  <si>
    <t xml:space="preserve">C.Directa </t>
  </si>
  <si>
    <t>CENTRO DE NANOCIENCIA Y NANOTECNOLOGÍA (CICIMA)</t>
  </si>
  <si>
    <t>PMI-BM</t>
  </si>
  <si>
    <t xml:space="preserve">ESCUELA DE ARTES MUSICALES Y CARRERA INNOVADORA, NUEVO </t>
  </si>
  <si>
    <t>ESCUELA DE TECNOLOGÍA DE ALIMENTOS, EDIFICIO ANEXO</t>
  </si>
  <si>
    <t>CITA EDIFICIO ANEXO</t>
  </si>
  <si>
    <t>SEDE DE OCCIDENTE, AULAS Y LAB. NUEVAS CARRERAS</t>
  </si>
  <si>
    <t xml:space="preserve">ESCUELA DE BIOLOGÍA, EDIFICIO ANEXO </t>
  </si>
  <si>
    <t>CICANUM, CICLOTRÓN</t>
  </si>
  <si>
    <t>CENTRO DE DIAGNÓSTICO DEL CANCER</t>
  </si>
  <si>
    <t xml:space="preserve">SEDE DE OCCIDENTE, PLANTA DE TRATAMIENTO </t>
  </si>
  <si>
    <t xml:space="preserve">SEDE DEL ATLÁNTICO, PLANTA DE TRATAMIENTO </t>
  </si>
  <si>
    <t>2015LN-000001-0000900001</t>
  </si>
  <si>
    <t>2015LN-000002-000090001</t>
  </si>
  <si>
    <t>2014LN-000002-0000900001</t>
  </si>
  <si>
    <t>2014LA-000050-0000900001</t>
  </si>
  <si>
    <t>2015LA-000001-0000900001</t>
  </si>
  <si>
    <t xml:space="preserve">PROGRAMA DE TRABAJO - LICITACIONES BANCO MUNDIAL </t>
  </si>
  <si>
    <t>SEDE DEL PACIFICO, EDIFICIO DE AULAS Y LABORATORIOS</t>
  </si>
  <si>
    <t>Licitación Pública Nacional</t>
  </si>
  <si>
    <t>CENTRO DE INVESTIGACIONES EN NEUROCIENCIAS, EDIFICIO</t>
  </si>
  <si>
    <t>9114</t>
  </si>
  <si>
    <t xml:space="preserve">CICA, EDIFICIO NUEVO </t>
  </si>
  <si>
    <t xml:space="preserve">SEDE REGIONAL DE GUANACASTE, AULAS Y LABORATORIOS NUEVAS CARRERAS </t>
  </si>
  <si>
    <t>9404</t>
  </si>
  <si>
    <t xml:space="preserve">SEDE REGIONAL DEL CARIBE, AULAS Y LABORATORIOS NUEVAS CARRERAS </t>
  </si>
  <si>
    <t>9405</t>
  </si>
  <si>
    <t xml:space="preserve">SEDE REGIONAL DEL ATLÁNTICO, EDIFICIO DE AULAS Y LABORATORIOS </t>
  </si>
  <si>
    <t>9407</t>
  </si>
  <si>
    <t xml:space="preserve">ESCUELA EDUCACIÓN FISICA, CIMOHU Y LABORATORIOS AFINES </t>
  </si>
  <si>
    <t>9417</t>
  </si>
  <si>
    <t>ESCUELA DE TECNOLOGÍAS EN SALUD, NUEVO EDIFICIO</t>
  </si>
  <si>
    <t xml:space="preserve">Presupuesto consolidado en el proyecto </t>
  </si>
  <si>
    <t xml:space="preserve">Saldo del consolidado </t>
  </si>
  <si>
    <t>Porcentaje de ejecución según el presupuesto consolidado</t>
  </si>
  <si>
    <t>REDISEÑO ELECTROMECÁNICO, EDIFICIO ANEXO DE BIOLOGÍA, EDIFICIO CICIMA, SEDE DE OCCIDENTE AULAS Y LABORATORIOS, FACULTAD DE LETRAS, SEDE DE GUANACASTE BIBLIOTECA, FACULTAD DE FARMACIA, ESCUELA DE BIOLGÍA, EDIFICIO INIFAR Y PLANTA PILOTO, CENTRO DE DIAGNÓSTICO DEL CANCER</t>
  </si>
  <si>
    <t>2014LA-000056-0000900001</t>
  </si>
  <si>
    <t>DISEÑO DE PLANTA DE TRATAMIENTO FINCA 2</t>
  </si>
  <si>
    <t>ESTUDIO DE VULNERABILIDAD SISMICA DE FAC. INGENIERÍA Y ANTIGUA FAC. DE CIENCIAS SOCIALES, DIGITALIZACIÓN, LEVANTAMIENTO Y ACTUALIZACIÓN DE PLANOS</t>
  </si>
  <si>
    <t>2015CD-000002-OEPI</t>
  </si>
  <si>
    <t>ESCUELA DE ARQUITECTURA, PLAZA DE ACCESO "VIDA ARQUIS"</t>
  </si>
  <si>
    <t>2015CD-000003-OEPI</t>
  </si>
  <si>
    <t xml:space="preserve">SEDE REGIONAL DE OCCIDENTE, BIBLIOTECA ARTURO AGÜERO CHAVES </t>
  </si>
  <si>
    <t>2014LA-000045-0000900001</t>
  </si>
  <si>
    <t>7321</t>
  </si>
  <si>
    <t>ESCUELA DE QUÍMICA, ELEVADOR</t>
  </si>
  <si>
    <t>2014LA-000068-0000900001</t>
  </si>
  <si>
    <t>7603</t>
  </si>
  <si>
    <t>ESCUELA DE QUÍMICA, CAMBIO DEL SISTEMA DE ILUMINACIÓN AULA 114 Y 124 REMODELACIÓN AULA 113 Y SALA DE CÓMPUTO CUBÍCULOS</t>
  </si>
  <si>
    <t>2014LA-000052-0000900001</t>
  </si>
  <si>
    <t xml:space="preserve">ESCUELA DE ARQUITECTURA, ELEVADOR </t>
  </si>
  <si>
    <t>FACULTAD DE CIENCIAS AGROALIMENTARIAS, TUBERIA PLUVIAL</t>
  </si>
  <si>
    <t>2014LA-000066-0000900001</t>
  </si>
  <si>
    <t>SEDE REGIONAL DEL ATLÁNTICO, PISTA SINTÉTICA</t>
  </si>
  <si>
    <t>2014LA-000002-2006SAT</t>
  </si>
  <si>
    <t>CICANUM</t>
  </si>
  <si>
    <t>Contratación Fundevi</t>
  </si>
  <si>
    <t xml:space="preserve">PROGRAMA DE TRABAJO - CONSTRUCCIONES BANCO MUNDIAL </t>
  </si>
  <si>
    <t>9415</t>
  </si>
  <si>
    <t xml:space="preserve">ESCUELA DE SALUD PÚBLICA </t>
  </si>
  <si>
    <t>Falta Acta de recepción y Finiquito</t>
  </si>
  <si>
    <t>Se extiende por modificación Finiquito pendiente.</t>
  </si>
  <si>
    <t>2013LA-000001-0000900001</t>
  </si>
  <si>
    <t>Con acta de recepción y Finiquito</t>
  </si>
  <si>
    <t>Sin acta de recepción. Finiquito pendiente Pago por (reajustes)</t>
  </si>
  <si>
    <t>2014LA-000007-0000900001</t>
  </si>
  <si>
    <t>FACULTAD DE CIENCIAS AGROALIMENTARIAS, ELEVADOR</t>
  </si>
  <si>
    <t xml:space="preserve">REMODELACIÓN DE LA RECTORÍA </t>
  </si>
  <si>
    <t>2014LA-000020-0000900001</t>
  </si>
  <si>
    <t xml:space="preserve">OBSERVACIONES: </t>
  </si>
  <si>
    <t>PROYECTOS TERMINADOS 2014</t>
  </si>
  <si>
    <t xml:space="preserve">EDUCACIÓN CONTINUA, ALEROS Y VENTANAS </t>
  </si>
  <si>
    <t>2014CD-000008-OEPI</t>
  </si>
  <si>
    <t xml:space="preserve">Falta finiquito </t>
  </si>
  <si>
    <t>FRANJA INTEGRADORA ESPACIO URBANO FINCA N°1-ETAPA N°2</t>
  </si>
  <si>
    <t>2014LA-000002-0000900001</t>
  </si>
  <si>
    <t>REAL + COMPR. % EJECUCIÓN</t>
  </si>
  <si>
    <t>Garantías de Participación y Cumplimiento</t>
  </si>
  <si>
    <t>Capital inmovilizado</t>
  </si>
  <si>
    <t>ACTIVIDADES DE INVERSIÓN</t>
  </si>
  <si>
    <t>Programas de Cómputo</t>
  </si>
  <si>
    <t>Deducciones Retenidas por Pagar</t>
  </si>
  <si>
    <t>Productos Acumulados</t>
  </si>
  <si>
    <t>Gan o pérdida no realiza (+)</t>
  </si>
  <si>
    <t>Subtotal provisto por las operaciones</t>
  </si>
  <si>
    <t>Subtotal cambios en activos y pasivos que proveen (usan) efectivo</t>
  </si>
  <si>
    <t>Registro del nuevo superávit comprometido</t>
  </si>
  <si>
    <t>SUPERÁVIT COMPROMETIDO</t>
  </si>
  <si>
    <t>CAPITAL INMOVILIZADO</t>
  </si>
  <si>
    <t>SUPERÁVIT DISPONIBLE</t>
  </si>
  <si>
    <t>Jefe, Sección de Contabilidad</t>
  </si>
  <si>
    <t>PASIVO</t>
  </si>
  <si>
    <t>2016</t>
  </si>
  <si>
    <t>Derechos y tasas administrativas</t>
  </si>
  <si>
    <t>(Expresado en colones)</t>
  </si>
  <si>
    <t>Fondo de préstamo (-)</t>
  </si>
  <si>
    <t>Capital libros (-)</t>
  </si>
  <si>
    <t>Deduccciones retenidas por pagar</t>
  </si>
  <si>
    <t>Garantia partic</t>
  </si>
  <si>
    <t>Efectivo e inversiones transitorias al 30 de junio del año anterior</t>
  </si>
  <si>
    <t>Efectivo e inversiones transitorias al 30 de junio del año en curso</t>
  </si>
  <si>
    <t>Diferencia ingresos sobre egresos al 30 de junio del año en curso</t>
  </si>
  <si>
    <t>ESTIMACIÓN PARA INCOBRABLES CUENTAS POR COBRAR</t>
  </si>
  <si>
    <t>ESTIMACIÓN POR OBSOLESCENCIA CUENTA DE INVENTARIOS</t>
  </si>
  <si>
    <t>GANANCIA NO REALIZADA INVERSIONES TRANSITORIAS</t>
  </si>
  <si>
    <t>Ingresos del Período</t>
  </si>
  <si>
    <t>Egresos del Período</t>
  </si>
  <si>
    <t>2406</t>
  </si>
  <si>
    <t>ESCUELA DE HISTORIA Y GEOGRAFÍA</t>
  </si>
  <si>
    <t>CAPAC DOCENT INGLES SERVIC DEL MEP</t>
  </si>
  <si>
    <t>FERIA DE BELLAS ARTES</t>
  </si>
  <si>
    <t>APOY DESARR ACTIVIDAD INVESTIG INIE</t>
  </si>
  <si>
    <t>SERVICIOS OFICINA DE BIENESTAR Y SALUD</t>
  </si>
  <si>
    <t>MAESTRÍA EN ECONOMÍA</t>
  </si>
  <si>
    <t>MAESTRÍA AGROEMPRESARIAL</t>
  </si>
  <si>
    <t>DOCTORADO EN EDUCACIÓN</t>
  </si>
  <si>
    <t>MAESTRÍA EN QUÍMICA INDUSTRIAL</t>
  </si>
  <si>
    <t>POSGRADO EN COMPUTACIÓN E INFORMATICA</t>
  </si>
  <si>
    <t>POSGRADO EN ADMINISTRACIÓN EDUCATIVA</t>
  </si>
  <si>
    <t>MAESTRÍA EN ADMINISTRACIÓN UNIVERSITARIA</t>
  </si>
  <si>
    <t>MAESTRÍA ADMINISTRACIÓN EDUCATIVA - PARAISO</t>
  </si>
  <si>
    <t>POSGRADO EN INGENIERÍA CIVIL</t>
  </si>
  <si>
    <t>MAESTRÍA EN EVALUACIÓN EDUCATIVA</t>
  </si>
  <si>
    <t>MAESTRÍA EN GERONTOLOGÍA</t>
  </si>
  <si>
    <t>POSG ENSEÑANZA INGLÉS COMO LENGUA EXTRAN</t>
  </si>
  <si>
    <t>DOCTORADO GOBIERNO Y POLITICA PÚBLICA</t>
  </si>
  <si>
    <t>MAESTRÍA TRABAJO SOCIAL</t>
  </si>
  <si>
    <t>MAESTRÍA EN INGENIERÍA ELÉCTRICA</t>
  </si>
  <si>
    <t>MAESTRÍA EN DIPLOMACIA</t>
  </si>
  <si>
    <t>MAESTRÍA EDUCACIÓN ADULTA</t>
  </si>
  <si>
    <t>MAESTRÍA EN CIENCIAS DE LOS ALIMENTOS</t>
  </si>
  <si>
    <t>PROGRAMA DE POSGRADO EN PSICOLOGIA</t>
  </si>
  <si>
    <t>MAESTRÍA PROFESIONAL EN RECREACIÓN</t>
  </si>
  <si>
    <t>POSGRADO EN ORIENTACIÓN</t>
  </si>
  <si>
    <t>PROGRAMA DE POSGRADO EN MATEMÁTICAS</t>
  </si>
  <si>
    <t>MAESTRÍA EN CIENCIAS PENALES</t>
  </si>
  <si>
    <t>MAESTRÍA ADM PÚBLICA CONTRATOS PUBLICOS</t>
  </si>
  <si>
    <t>MAESTRÍA PROFESIONAL EN GESTIÓN HOTELERA</t>
  </si>
  <si>
    <t>MAESTRÍA EN GESTIÓN JURIDIC DE LA EDUCACIÓN</t>
  </si>
  <si>
    <t>MAESTRÍA PROF SIST INFOR GEOGRAF T TELEDETE</t>
  </si>
  <si>
    <t>POSGRADO EN ADMINISTRACIÓN PÚBLICA</t>
  </si>
  <si>
    <t>MAESTRÍA EN BIBLIOTECOLOGIA</t>
  </si>
  <si>
    <t>MAESTRÍA DEREC COMUNIT Y DERECHO HUMANO</t>
  </si>
  <si>
    <t>MAESTRÍA EN DERECHO PUB COMP FRANC-LATIN</t>
  </si>
  <si>
    <t>MAESTRÍA EN PLANIFICACION CURRICULAR</t>
  </si>
  <si>
    <t>MAESTRÍA EN CIENCIAS POLITICAS</t>
  </si>
  <si>
    <t>MAESTRÍA EVALUACIÓN DE PROYECTOS</t>
  </si>
  <si>
    <t>MAESTRÍA PROFESIONAL EN HISTORIA</t>
  </si>
  <si>
    <t>POSGRADO ADMINISTRACIÓN Y DIRECCION DE EMPRESAS</t>
  </si>
  <si>
    <t>MAESTRÍA EN DERECHO AMBIENTAL</t>
  </si>
  <si>
    <t>MAESTRÍA EN DERECHOS MUNICIPALES</t>
  </si>
  <si>
    <t>MAESTRÍA EN JUSTICIA CONSTITUCIONAL</t>
  </si>
  <si>
    <t>MAESTRÍA EN ESTUDIOS DE LA MUJER</t>
  </si>
  <si>
    <t>MAESTRÍA EN ODONTOLOGIA GENERAL AVANZADA</t>
  </si>
  <si>
    <t>MAESTRÍA EN NUTRICION HUMANA</t>
  </si>
  <si>
    <t>MAESTRÍA EN FARMACODEPENDENCIA</t>
  </si>
  <si>
    <t>MAESTRÍA EN SALUD PÚBLICA - VARIOS ENFASIS</t>
  </si>
  <si>
    <t>MAESTRÍA CIENCIAS DE ENFERMERIA</t>
  </si>
  <si>
    <t>MAESTRÍA PROFES EN FARMAC Y GEREN DE MEDICA</t>
  </si>
  <si>
    <t>MAESTRÍA EN BIOINFORMATICA</t>
  </si>
  <si>
    <t>MAESTRÍA EN ATENCION FARMACEUTICA</t>
  </si>
  <si>
    <t>MAESTRÍA EN INGENIERÍA QUÍMICA</t>
  </si>
  <si>
    <t>MAESTRÍA EN INGENIERÍA INDUSTRIAL</t>
  </si>
  <si>
    <t>MAESTRÍA EN ARQUITECTURA</t>
  </si>
  <si>
    <t>MAESTRÍA EN GESTIÓN AMBIENT Y ECOTURISMO</t>
  </si>
  <si>
    <t>MAESTRÍA EN GESTIÓN DEL RIESGO EN DESASTRES</t>
  </si>
  <si>
    <t>MAESTRÍA EN DERECHO PUBLICO</t>
  </si>
  <si>
    <t>MAESTRÍA PROF ING MEC ENF SIST TERMIC Y ENE</t>
  </si>
  <si>
    <t>REACRED CARRE ADMIN PUB, ADUAN Y COM EXTERIOR</t>
  </si>
  <si>
    <t>FORTALECIMIENTO PROCESO EVALUAC AUTOEVAL AUTORREG RE</t>
  </si>
  <si>
    <t>FORTALECIMIENTO ESTUDIOS MULTICULTURALES EN UCR</t>
  </si>
  <si>
    <t>EQUIPAMIENTO Y FORTALECIMIENTO DE LA RED SISMOLOG NACIONAL</t>
  </si>
  <si>
    <t>MEJORAMIENTO PROMOCIÓN ESTUDIANTES QUIMICA GENERAL I</t>
  </si>
  <si>
    <t>VINCULACIÓN DE LA ACADEMIA CON ORGAN DE ECON SOC CR</t>
  </si>
  <si>
    <t>APORTE CORTE SUPREMA JUSTICIA-CONSU.JURÍDICOS</t>
  </si>
  <si>
    <t>OBRAS DE INFRAESTRUCTURAS ESC ADM NEGOCIOS</t>
  </si>
  <si>
    <t>DEFENSORIA  HABITANTES - CONSULTORIOS JURIDICOS</t>
  </si>
  <si>
    <t>APORTES VARIOS - ESCUELA  ADMINISTRACION PÚBLICA</t>
  </si>
  <si>
    <t>XI CONGRESO LAT. ESTUDIANTES INGENIERÍA QUIMICA</t>
  </si>
  <si>
    <t>MEJORAMIENTO MODELO EDUCATIVO INGENIERÍA INDUS ACUE TEND INT</t>
  </si>
  <si>
    <t>LA ENSEÑAN HISTO Y NUEV TECNOLOG INFORM Y COMP</t>
  </si>
  <si>
    <t>APORT VARIOS OFERTA ACAD VARIAS LENGUAS</t>
  </si>
  <si>
    <t>ESTUD SISTEM SUGER DEL GOLFO SANT ELENA</t>
  </si>
  <si>
    <t>ESTABLEC. SISTEMA ALERTA ANTE INUNDACIONES MICROC RIO BURÍO-QUEBRADA</t>
  </si>
  <si>
    <t>BASES PAR GERMINAC ESTRAT INTEG DE ADAPT</t>
  </si>
  <si>
    <t>FORTALEC PROPYMES: LOS PATITOS, ALPIGO,</t>
  </si>
  <si>
    <t>FORM PRODUCC PRODUT LIMPIEZ AMIGAB AMBIE</t>
  </si>
  <si>
    <t>PRODUCCIÓN NUEVAS VARIANTES CAFE MEDIANTE INDUCCIÓN MUTACIONES AGENTES</t>
  </si>
  <si>
    <t>FONDO RESERVA RED DE LAB EN INGENIERÍA SÍSMICA</t>
  </si>
  <si>
    <t xml:space="preserve">CARACTERIZACIÓN INESTABILIDAD MUTACIÓN DM1 EN EL GEN DMPK </t>
  </si>
  <si>
    <t>INFORME ANUAL HACIA SOCIEDAD DE LA INFORMACIÓN Y CONOCIMIENTO</t>
  </si>
  <si>
    <t>CARACTERIZACIÓN RESPUESTA INMUNE AVES CORRAL INMUNIZADAS ANTÍGENOS</t>
  </si>
  <si>
    <t>VALORACIÓN SUBPRODUCTOS PROCESADO INDUSTRIAL PIÑA APLICACIÓN HERRAM.</t>
  </si>
  <si>
    <t>ESTIMACIÓN TALLA PRIMERA MADUREZ SEXUAL DE SEIS ESPECIES INTERÉS PESCA</t>
  </si>
  <si>
    <t>FORTALECIMIENTO DEL EQUIPO E INFRAESTRUCT CICANUM</t>
  </si>
  <si>
    <t>MEJORAMIENTOS DIAGNÓSTICOS MOLECULAR DISTROFIA</t>
  </si>
  <si>
    <t>MANEJO INTEGRAL RECURSO HIDRAÚLICO CUEN RIO ABANGARES</t>
  </si>
  <si>
    <t>IDENT NUEV EFECT BACIL THURIN ACTIV CONT</t>
  </si>
  <si>
    <t>CAMPAMENTO AEROSPACIAL 2015</t>
  </si>
  <si>
    <t>PROG DES CAP INVEST P/L PREV Y MITIG DES</t>
  </si>
  <si>
    <t>UTILIZACIÓN DE MICROORGANISMOS EN EL CAMPO AGRICOLA</t>
  </si>
  <si>
    <t>REMAN CURS ESPEC "DEMOC IDEL CRITICADO"</t>
  </si>
  <si>
    <t>BECA GUIDO SIBAJA PEREIRA-INTERESES-</t>
  </si>
  <si>
    <t>CONGRESO DE ESTUDIANTES DE NEGOCIOS</t>
  </si>
  <si>
    <t>AGENCIA BANCARIA UNIVERSITARIA</t>
  </si>
  <si>
    <t>FERIA UNIVERS DEL AHORRO Y LAS FINANZAS</t>
  </si>
  <si>
    <t>APOYO A LA UNIDAD DE GESTION AMBIENTAL</t>
  </si>
  <si>
    <t>AMORTIZACION SIEDIN RECTORIA</t>
  </si>
  <si>
    <t>FONDOS RESTRINGIDOS - GLOBAL DE INVESTIGACION</t>
  </si>
  <si>
    <t>FONDOS RESTRINGIDOS  - GLOBAL DE ADMINISTRACION</t>
  </si>
  <si>
    <t>TOTAL PRESUPUESTO POR DISTRIBUIR F.R. (SECC. 5)</t>
  </si>
  <si>
    <t>Fondo Permante de Capitalización F.D.I.</t>
  </si>
  <si>
    <t>Semovientes</t>
  </si>
  <si>
    <t xml:space="preserve">PLANTA </t>
  </si>
  <si>
    <t>Esc. de Química Edificio de Proveeduría (902)</t>
  </si>
  <si>
    <t>Ciudad de la Investigación, servicios sanitarios (926)</t>
  </si>
  <si>
    <t>Aulas del Postgrado en Artes (934)</t>
  </si>
  <si>
    <t>Sede Regional del Caribe, Planta de tratamiento (935)</t>
  </si>
  <si>
    <t>Facultad de Ciencias Económicas, Escalera Emergencia (941)</t>
  </si>
  <si>
    <t>Facultad de Educación Edificio Anexo (946)</t>
  </si>
  <si>
    <t>Sede del Caribe, Auditorio y Parqueo (960)</t>
  </si>
  <si>
    <t>Centro Infantil Laboratorio y Casa Infantil - Edificio (978)</t>
  </si>
  <si>
    <t>Instituto Clodomiro Picado - Proyectos (986)</t>
  </si>
  <si>
    <t>Oficina de Bienestar y Salud - Edificio (993)</t>
  </si>
  <si>
    <t>Franja Integradora Espacio Urb. I Etapa (994)</t>
  </si>
  <si>
    <t>Escuela de Lenguas Modernas - Remodelación (998)</t>
  </si>
  <si>
    <t>Nota</t>
  </si>
  <si>
    <t>AUMENTO</t>
  </si>
  <si>
    <t>DISMINUCIÓN</t>
  </si>
  <si>
    <t xml:space="preserve">Cuentas por Cobrar y Otros Deudores </t>
  </si>
  <si>
    <t>Cuentas por Cobrar y Otros Deudores (Neto)</t>
  </si>
  <si>
    <t>Préstamos a Profesores y Estudiantes</t>
  </si>
  <si>
    <t>Préstamos a Profesores y Estudiantes (Neto)</t>
  </si>
  <si>
    <t>Inventarios en Bodega</t>
  </si>
  <si>
    <t>Inventarios en Bodega (Neto)</t>
  </si>
  <si>
    <t>Mobiliario</t>
  </si>
  <si>
    <t>Equipo de Oficina</t>
  </si>
  <si>
    <t>Libros</t>
  </si>
  <si>
    <t>Equipo Didáctico</t>
  </si>
  <si>
    <t>Vehículos</t>
  </si>
  <si>
    <t>Maquinaria Agrícola e Industrial</t>
  </si>
  <si>
    <t>Misceláneo</t>
  </si>
  <si>
    <t>Discoteca</t>
  </si>
  <si>
    <t>Equipo de Imprenta</t>
  </si>
  <si>
    <t>Equipo Musical</t>
  </si>
  <si>
    <t>Herramientas</t>
  </si>
  <si>
    <t>Equipo Telefónico</t>
  </si>
  <si>
    <t>Equipo Radiofónico</t>
  </si>
  <si>
    <t>Equipo de Seguridad</t>
  </si>
  <si>
    <t>Equipo de Computación</t>
  </si>
  <si>
    <t>Obras de Arte</t>
  </si>
  <si>
    <t>Equipo Marítimo</t>
  </si>
  <si>
    <t>(-) Depreciación Acumulada</t>
  </si>
  <si>
    <t>Instalaciones (Neta)</t>
  </si>
  <si>
    <t>(-) Depreciación Acum.</t>
  </si>
  <si>
    <t>Edificios (Neto)</t>
  </si>
  <si>
    <t>Obras en Proceso (Construcciones)</t>
  </si>
  <si>
    <t>Amortización de Programas de Cómputo</t>
  </si>
  <si>
    <t>Programas de Cómputo (Neto)</t>
  </si>
  <si>
    <t>PATRIMONIO NETO</t>
  </si>
  <si>
    <t>Capital de Circulación Documentos al Cobro</t>
  </si>
  <si>
    <t>Fondo de Préstamo Comprometido</t>
  </si>
  <si>
    <t>Fondo de Préstamos (Neto)</t>
  </si>
  <si>
    <t>Capital Libros (Bodega)</t>
  </si>
  <si>
    <t>TOTAL PATRIMONIO NETO</t>
  </si>
  <si>
    <t>TOTAL PASIVO Y PATRIMONIO NETO</t>
  </si>
  <si>
    <t>ESCUELA DE QUÍMICA, PROVEEDURÍA</t>
  </si>
  <si>
    <t xml:space="preserve">L. Púiblica </t>
  </si>
  <si>
    <t xml:space="preserve">R-416-2015 </t>
  </si>
  <si>
    <t>R-1810-2014 / EAP-A-073-2014/ R-386-2016</t>
  </si>
  <si>
    <t xml:space="preserve">SEDE DE GUANACASTE, MEJORA DE PLANTA DE TRATAMIENTO </t>
  </si>
  <si>
    <t>R-386-2016</t>
  </si>
  <si>
    <t>SEDE DE GUANACASTE, ELEVADOR</t>
  </si>
  <si>
    <t>FACULTAD DE CIENCIAS ECONÓMICAS, ESCALERA DE EMERGENCIA</t>
  </si>
  <si>
    <t xml:space="preserve">CENTRO DE INVESTIGACIÓN EN ESTUDIOS DE LA MUJER, EDIFICIO </t>
  </si>
  <si>
    <t>FACULTAD DE EDUCACIÓN, EDIFICIO ANEXO</t>
  </si>
  <si>
    <t xml:space="preserve">LABORATORIO DE ENSAYOS BIOLÓGICOS, EDIFICIO </t>
  </si>
  <si>
    <t xml:space="preserve">SEDE DEL CARIBE, AUDITORIO Y PARQUEO </t>
  </si>
  <si>
    <t>Fondos para contrato de diseño, no así para la ejecución del proyecto.</t>
  </si>
  <si>
    <t>SEDE DEL PACÍFICO, CANCHA DE FUTBOL Y PISTA SINTÉTICA</t>
  </si>
  <si>
    <t xml:space="preserve">El Laboratorio Clínico de la OBS aportará la suma de ¢1000 millones. </t>
  </si>
  <si>
    <t>Año de inclusión</t>
  </si>
  <si>
    <t xml:space="preserve">ORIGEN DE LOS FONDOS </t>
  </si>
  <si>
    <t xml:space="preserve">CONTRATACIÓN DE DISEÑO PARA PROYECTOS EN INSTALACIONES DEPORTIVAS DE LAS SEDES REGIONALES </t>
  </si>
  <si>
    <t xml:space="preserve">Sedes Regionales </t>
  </si>
  <si>
    <t>2016LA-000012-0000900001</t>
  </si>
  <si>
    <t>2016CD-000003-OEPI</t>
  </si>
  <si>
    <t>Adjudicación</t>
  </si>
  <si>
    <t>2015LA-000099-0000900001</t>
  </si>
  <si>
    <t>2010</t>
  </si>
  <si>
    <t xml:space="preserve">SISTEMA DE ESTUDIOS DE POSGRADO, AULAS  DEL POSTGRADO </t>
  </si>
  <si>
    <t>SEDE DEL CARIBE, PISO DEL GIMNASIO</t>
  </si>
  <si>
    <t>CAMBIO  TANQUE ALMACENAM COMB, SECCIÓN DE TRANSPORTES OSG</t>
  </si>
  <si>
    <t xml:space="preserve">CONSTRUCCIÓN DE DESAGÜE PARA EL CUARTO DE MÁQUINAS, UBICADO ENTRE LA ESCUELA DE TECNOLOGÍAS </t>
  </si>
  <si>
    <t>2016CD-000004-OEPI</t>
  </si>
  <si>
    <t>OFICINA DE BIENESTAR Y SALUD, REUBICACIÓN DE CANCHAS DE ARENA Y MULTIUSO</t>
  </si>
  <si>
    <t>ESCUELA DE ORIENTACIÓN Y EDUCACIÓN ESPECIAL, SODA</t>
  </si>
  <si>
    <t>2016CD-000002-OEPI</t>
  </si>
  <si>
    <t>2014</t>
  </si>
  <si>
    <t>CENTRO DE INVESTIGACIONES EN BIOLOGÍA CELULAR Y MOLECULAR (CIBCM), INVERNADEROS</t>
  </si>
  <si>
    <t>SISTEMA DE ESTUDIOS DE POSGRADO, AUDITORIO Y AULA MULTIUSO</t>
  </si>
  <si>
    <t>2016LA-000008-0000900001</t>
  </si>
  <si>
    <t>L. Pública</t>
  </si>
  <si>
    <t>2015LN-000005-0000900001</t>
  </si>
  <si>
    <t>Licitación Pública Internacional</t>
  </si>
  <si>
    <t>Tipo de procedimiento</t>
  </si>
  <si>
    <t>FACULTAD DE INGENIERIA, FIDEICOMISO UCR-BCR</t>
  </si>
  <si>
    <t xml:space="preserve">Contratación </t>
  </si>
  <si>
    <t>Fideicomiso UCR-BCR</t>
  </si>
  <si>
    <t>EDIFICIO PARQUEOS, FIDEICOMISO UCR-BCR</t>
  </si>
  <si>
    <t>FACULTAD DE DERECHO, FIDEICOMISO UCR-BCR</t>
  </si>
  <si>
    <t>EDIFICIO AULARIO, FIDEICOMISO UCR-BCR</t>
  </si>
  <si>
    <t>FACULTAD DE ODONTOLOGÍA, NUEVO EDIFICIO, FIDEICOMISO UCR-BCR</t>
  </si>
  <si>
    <t>PLAZA DE LA AUTONOMÍA, FIDEICOMISO UCR-BCR</t>
  </si>
  <si>
    <t xml:space="preserve">ESCUELA DE CIENCIAS DE LA COMPUTACIÓN E INFORMÁTICA </t>
  </si>
  <si>
    <t>7602</t>
  </si>
  <si>
    <t>2013</t>
  </si>
  <si>
    <t>ESCUELA DE AGRONOMÍA, LABORATORIO DE DOCENCIA 107 Y ADMIN.</t>
  </si>
  <si>
    <t>2015LA-000034-0000900001</t>
  </si>
  <si>
    <t xml:space="preserve">ESCUELA DE MEDICINA, EDIFICIO </t>
  </si>
  <si>
    <t xml:space="preserve">JARDIN BOTÁNICO LANKESTER </t>
  </si>
  <si>
    <t>2015LA-000073-0000900001</t>
  </si>
  <si>
    <t>MUSEO  DE INSECTOS, MEDIO DE EGRESO</t>
  </si>
  <si>
    <t>2011</t>
  </si>
  <si>
    <t>2980,1942 y 5907</t>
  </si>
  <si>
    <t>FINCA DE ESPARZA, MALLA DE SEGURIDAD</t>
  </si>
  <si>
    <t>2016LA-000001-0000900001</t>
  </si>
  <si>
    <t xml:space="preserve">LANAMME, SEDE REGIONAL DE GUANACASTE </t>
  </si>
  <si>
    <t xml:space="preserve">LANAMME, DISEÑO DE LABORATORIOS </t>
  </si>
  <si>
    <t>CONTRALORÍA UNIVERSITARIA, PROVISIÓN E INSTALACIÓN DE ELEVADOR</t>
  </si>
  <si>
    <t>2015-000060-0000900001</t>
  </si>
  <si>
    <t xml:space="preserve">FACULTAD DE INGENIERÍA, ELEVADORES </t>
  </si>
  <si>
    <t>2012</t>
  </si>
  <si>
    <t xml:space="preserve">FACULTAD DE ODONTOLOGÍA, ELEVADOR </t>
  </si>
  <si>
    <t>FINCA 2, OBRAS DE URBANIZACIÓN</t>
  </si>
  <si>
    <t>INSTITUTO DE INVESTIGACIONES PSICOLÓGICAS, ELEVADOR</t>
  </si>
  <si>
    <t>PROYECTOS TERMINADOS 2015</t>
  </si>
  <si>
    <t>Unidad Ejecutora Ordinario</t>
  </si>
  <si>
    <t>2015CD-00007-VE</t>
  </si>
  <si>
    <t>Falta finiquito</t>
  </si>
  <si>
    <t xml:space="preserve">SEDE REGIONAL DEL PACÍFICO, CUARTO POP </t>
  </si>
  <si>
    <t>2015CD-000006-OEPI</t>
  </si>
  <si>
    <t>781</t>
  </si>
  <si>
    <t xml:space="preserve">TRINCHERA PARA MEDICIÓN DE NIVELES FREÁTICOS EN ESTADIO ECOLÓGICO </t>
  </si>
  <si>
    <t>2015CD-000007-OEPI</t>
  </si>
  <si>
    <t>CONTRALORÍA UNIVERSITARIO, CAMBIO DE CUBIERTA</t>
  </si>
  <si>
    <t>2015CD-000001-OEPI</t>
  </si>
  <si>
    <t xml:space="preserve">Con finiquito </t>
  </si>
  <si>
    <t>SEDE REGIONAL DE LIMÓN, NUEVO ACCESO</t>
  </si>
  <si>
    <t>2012LA-000092-UADQ</t>
  </si>
  <si>
    <t xml:space="preserve">Con acta de recepción definitiva, falta finiquito </t>
  </si>
  <si>
    <t>918</t>
  </si>
  <si>
    <t>ESCUELA DE MATEMATICA, CONSTRUCCIÓN EDIFICIO</t>
  </si>
  <si>
    <t>2011LN-000003-0000900001</t>
  </si>
  <si>
    <t>931</t>
  </si>
  <si>
    <t>7601</t>
  </si>
  <si>
    <t xml:space="preserve">CONSTRUCCIÓN EDIFICIO  EDUCACIÓN CONTINUA </t>
  </si>
  <si>
    <t>2011LN-000022-UADQ</t>
  </si>
  <si>
    <t>Con finiquito</t>
  </si>
  <si>
    <t>EDIFICIO ADMINISTRATIVO B, CONSEJO UNIVERSITARIO RECTORIA, ELEVADORES</t>
  </si>
  <si>
    <t>2013LA-000020-0000900001</t>
  </si>
  <si>
    <t>SEDE REGIONAL DE LIMÓN, PUENTE VEHÍCULAR</t>
  </si>
  <si>
    <t>2013LA-000018-000090001</t>
  </si>
  <si>
    <t xml:space="preserve">RECINTO DE SANTA CRUZ, READECUACIÓN DE LOS EDIFICIOS </t>
  </si>
  <si>
    <t>2013LA-000029-0000900001</t>
  </si>
  <si>
    <t>READECUACIÓN DE ACCESO AL EDIFICIO PRINCIPAL Y PARQUEOS DEL LANAMME - UCR</t>
  </si>
  <si>
    <t>2012CD-000100-VE</t>
  </si>
  <si>
    <t xml:space="preserve">ESCUELA CENTROAMERICANA DE GEOLOGÍA, REMODELACIÓN DE LABORATORIO DE GEOTECNIA Y AMPLIACIÓN DEL LABORATORIO DE PETROLOGÍA </t>
  </si>
  <si>
    <t>2012LA-000070-UADQ</t>
  </si>
  <si>
    <t>LANAMME, CONTRATACCIÓN DEL HVS</t>
  </si>
  <si>
    <t>2014CD-00006-VE</t>
  </si>
  <si>
    <t>PROYECTOS TERMINADOS 2013</t>
  </si>
  <si>
    <t>7318</t>
  </si>
  <si>
    <t>FACULTAD DE EDUCACIÓN, SODA</t>
  </si>
  <si>
    <t>2012LA-000008-0000900001</t>
  </si>
  <si>
    <t xml:space="preserve">Falta acta de recepción y finiquito </t>
  </si>
  <si>
    <t>OFICINA EJECUTORA DEL PROGRAMA DE INVERSIONES, EDIFICIO ANEXO</t>
  </si>
  <si>
    <t>2012CD-000007-OEPI</t>
  </si>
  <si>
    <t>SEDE REG. PACIFICO TECHO CANCHA  MULTIUSO</t>
  </si>
  <si>
    <t>2012LA-000048-UADQ</t>
  </si>
  <si>
    <t>923 y 927</t>
  </si>
  <si>
    <t>2009</t>
  </si>
  <si>
    <t>ELEVADORES PARA BIBLIOTECOLOGÍA, NUTRICIÓN, CARIT, MEDICINA</t>
  </si>
  <si>
    <t>2012LA-000047-UADQ</t>
  </si>
  <si>
    <t>936</t>
  </si>
  <si>
    <t>REMDO. RESID. EST. RODRIGO FACIO III ETAPA</t>
  </si>
  <si>
    <t>2011LA-000031-0000900001</t>
  </si>
  <si>
    <t>Con finiquito - Listo para liquidar</t>
  </si>
  <si>
    <t>REMDO. RESID. EST. RODRIGO FACIO III ETAPA, ALARMAS</t>
  </si>
  <si>
    <t>2012CD-000009-OEPI</t>
  </si>
  <si>
    <t xml:space="preserve">Finiquito pendiente </t>
  </si>
  <si>
    <t xml:space="preserve">FACULTAD DE FARMACIA  CONSTRUCCIÓN DE ESCALERA  EMERGENCIA </t>
  </si>
  <si>
    <t>2012LA-000003-0000900001</t>
  </si>
  <si>
    <t>1327 y 5043</t>
  </si>
  <si>
    <t xml:space="preserve">ESCUELA DE ADMINISTRACIÓN DE NEGOCIOS REMODELACIÓN DE INSTALACIONES </t>
  </si>
  <si>
    <t>2012LA-000004-0000900001</t>
  </si>
  <si>
    <t>SEDE REGIONAL DE GUANACASTE, RED DE AGUA POTABLE</t>
  </si>
  <si>
    <t>2012LA-000054-UADQ</t>
  </si>
  <si>
    <t xml:space="preserve">BIBLIOTECA LUIS DEMETRIO TINOCO, CABLEADO ESTRUCTRADO </t>
  </si>
  <si>
    <t>Contratación Directa</t>
  </si>
  <si>
    <t>2013CD-000003-OEPI</t>
  </si>
  <si>
    <t xml:space="preserve">RECINTO DE GRECIA, MINIAUDITORIO </t>
  </si>
  <si>
    <t>2012LA-000073-UADQ</t>
  </si>
  <si>
    <t>956</t>
  </si>
  <si>
    <t>ESTADIO ECOLÓCIO - VESTIDORES</t>
  </si>
  <si>
    <t>2011LA-000034-0000900001</t>
  </si>
  <si>
    <t xml:space="preserve">ESCUELA DE QUÍMICA, REMODELACIÓN QUÍMICA INDUSTRIAL E INORGÁNICA </t>
  </si>
  <si>
    <t>Licitación Abreviada</t>
  </si>
  <si>
    <t>2012LA-000015-0000900001</t>
  </si>
  <si>
    <t xml:space="preserve">SEDE REGIONAL DE OCCIDENTE, TIENDA UNIVERSITARIA </t>
  </si>
  <si>
    <t xml:space="preserve">Se construye con mano de obra de la Sede. Se colabora con diseño e inspección. Sin finiquito </t>
  </si>
  <si>
    <t xml:space="preserve">OBRAS EMERGENTES - REPARACIONES EN LA BIBLIOTECA DE LIMÓN </t>
  </si>
  <si>
    <t>2012LA-000013-0000900001</t>
  </si>
  <si>
    <t>5309 y 2650</t>
  </si>
  <si>
    <t xml:space="preserve">CELEQ, REMODELACIONES VARIAS </t>
  </si>
  <si>
    <t>2012LA-000056-UADQ</t>
  </si>
  <si>
    <t>275</t>
  </si>
  <si>
    <t xml:space="preserve">FABIO BAUDRIT, CONSTRUCCIÓN CASETA VIGILANCIA </t>
  </si>
  <si>
    <t>2012LA-000069-UADQ</t>
  </si>
  <si>
    <t xml:space="preserve">BIBLIOTECA CARLOS MONGE ALFARO, CAMBIO DE TECHO </t>
  </si>
  <si>
    <t>SEDE REGIONAL DE OCCIDENTE, EDIFICIO - COMEDOR Y COCINA PARA RESIDENCIAS ESTUDIANTILES</t>
  </si>
  <si>
    <t>2012LA-000067-UADQ</t>
  </si>
  <si>
    <t>ESCUELA DE QUÍMICA, TENDIDO ELECTRICO SUBTERRANEO</t>
  </si>
  <si>
    <t>2012LA-000072-UADQ</t>
  </si>
  <si>
    <t>PROYECTOS TERMINADOS 2012</t>
  </si>
  <si>
    <t xml:space="preserve">ESCUELA DE EDUCACIÓN FÍSICA, CONSTRUCCIÓN DE AULAS </t>
  </si>
  <si>
    <t>2011LA-000097-UADQ</t>
  </si>
  <si>
    <t>5811</t>
  </si>
  <si>
    <t xml:space="preserve">SOPORTE PARA MURAL, FACULTAD DE CIENCIAS AGROALIMENTARIAS </t>
  </si>
  <si>
    <t>2011CD-000031-000009000001</t>
  </si>
  <si>
    <t xml:space="preserve">SEDE REGIONAL DE GUANACASTE, RESIDENCIAS ESTUDIANTILES </t>
  </si>
  <si>
    <t>Licitación Pública</t>
  </si>
  <si>
    <t>2010LN-000004-UADQ</t>
  </si>
  <si>
    <t>SEDE DE LIMÓN, REMODELAC. PARA RECINTO DE SIQUIRRES</t>
  </si>
  <si>
    <t xml:space="preserve">Convenio con la Municipalidad de Siquirres, ellos prepararon el proceso de licitación  </t>
  </si>
  <si>
    <t xml:space="preserve">816, 867 y 5811 </t>
  </si>
  <si>
    <t>FACULTAD DE CIENCIAS AGROALIMENTARIAS, REMODELACIÓN DE LA UNIDAD DE APOYO INFORMATICO</t>
  </si>
  <si>
    <t>2012CD-000004-OEPI</t>
  </si>
  <si>
    <t>5601</t>
  </si>
  <si>
    <t>OFICINA DE BIENESTAR Y SALUD, AMPLIACIÓN DE FARMACIA</t>
  </si>
  <si>
    <t>2012CD-000002-OEPI</t>
  </si>
  <si>
    <t xml:space="preserve">OBRAS EMERGENTES - MEJORAS AL DRENAJE PLUVIAL, RECINTO DE GUÁPILES </t>
  </si>
  <si>
    <t>-</t>
  </si>
  <si>
    <t xml:space="preserve">Contratación Directra </t>
  </si>
  <si>
    <t>2011CD-000010-OEPI</t>
  </si>
  <si>
    <t xml:space="preserve">RECINTO DE GRECIA, PABELLON DE SALAS MULTIUSO Y LABORATORIOS DE COMPUTO </t>
  </si>
  <si>
    <t>2011LA-000035-0000900001</t>
  </si>
  <si>
    <t>6 meses a 1 año</t>
  </si>
  <si>
    <t xml:space="preserve">Salarios girados en exceso funcionarios activos </t>
  </si>
  <si>
    <t>Cuentas por cobrar a bancos y otros</t>
  </si>
  <si>
    <t xml:space="preserve">Documentos varios en cobro judicial </t>
  </si>
  <si>
    <t>Venta de bienes Semanario Universidad</t>
  </si>
  <si>
    <t>013-054</t>
  </si>
  <si>
    <t>Venta de servicios Semanario Universidad</t>
  </si>
  <si>
    <t>013-055</t>
  </si>
  <si>
    <t>Venta de servicios Radioemisoras UCR</t>
  </si>
  <si>
    <t>013-056</t>
  </si>
  <si>
    <t>Venta de servicios Canal 15</t>
  </si>
  <si>
    <t>Total Documentos por Cobrar:</t>
  </si>
  <si>
    <t>01-01-10</t>
  </si>
  <si>
    <t>PRUEBAS DE HABILIDADES CUANTITAVAS</t>
  </si>
  <si>
    <t>GRUPOS CULTURALES Y DEPORTIVOS (10% CBE)</t>
  </si>
  <si>
    <t>SEDE REGIONAL DEL CARIBE - DOCENCIA</t>
  </si>
  <si>
    <t>SEDE REGIONAL DEL CARIBE - INVESTIGACION</t>
  </si>
  <si>
    <t>SEDE REGIONAL DEL CARIBE  -ACCION SOCIAL</t>
  </si>
  <si>
    <t>SEDE REGIONAL CARIBE- VIDA ESTUDIANTIL</t>
  </si>
  <si>
    <t>SEDE REGIONAL CARIBE - ADMINISTRACION</t>
  </si>
  <si>
    <t>01-98-02-01</t>
  </si>
  <si>
    <t>ESCUELA DE ARTES PLASTICAS - VENTA SERV.</t>
  </si>
  <si>
    <t>02-98-02-11</t>
  </si>
  <si>
    <t>SERVICIOS C.I.T.A.</t>
  </si>
  <si>
    <t>08-02-01-02</t>
  </si>
  <si>
    <t>ESCUELA DE QUIMICA, EDIFICIO PROVEEDURIA</t>
  </si>
  <si>
    <t>08-02-01-05</t>
  </si>
  <si>
    <t>CTRO INV. HEMATOL. Y TRANST. AFINES EDIF</t>
  </si>
  <si>
    <t>FAC. BELLAS ARTES - TALLER FUNDICIÓN</t>
  </si>
  <si>
    <t>08-02-01-31</t>
  </si>
  <si>
    <t>ESCUELA DE QUIMICA, ESCALERA  EMERGENCIA</t>
  </si>
  <si>
    <t>08-02-01-33</t>
  </si>
  <si>
    <t>08-02-01-36</t>
  </si>
  <si>
    <t>FACULTAD DE LETRAS ELEVADOR</t>
  </si>
  <si>
    <t>SEDE DE GUANACASTE ELEVADOR</t>
  </si>
  <si>
    <t>08-02-01-41</t>
  </si>
  <si>
    <t>FAC.CIENCIAS ECONOMICAS, ESCALERA EMERG.</t>
  </si>
  <si>
    <t>08-02-01-42</t>
  </si>
  <si>
    <t>FAC.EDUCACION, ESC.EDUC. FISICA Y DEPORT</t>
  </si>
  <si>
    <t>08-02-01-43</t>
  </si>
  <si>
    <t>CENTRO INVEST. ESTUDIOS MUJER, EDIFICIO</t>
  </si>
  <si>
    <t>08-02-01-44</t>
  </si>
  <si>
    <t>SEDE REG. OCCIDENTE, PABELLON DE AULAS</t>
  </si>
  <si>
    <t>08-02-01-46</t>
  </si>
  <si>
    <t>FACULTAD DE EDUCACION EDIFICIO ANEXO</t>
  </si>
  <si>
    <t>08-02-01-51</t>
  </si>
  <si>
    <t>LABORATORIO DE ENSAYOS BIOLOGICOS EDIFIC</t>
  </si>
  <si>
    <t>08-02-01-60</t>
  </si>
  <si>
    <t>SEDE DEL CARIBE AUDITORIO Y PARQUEO</t>
  </si>
  <si>
    <t>08-02-01-82</t>
  </si>
  <si>
    <t>SEDE PACIFICO CANCHA FUTBOL Y PISTA SINT</t>
  </si>
  <si>
    <t>FONDO DE PRESTAMOS</t>
  </si>
  <si>
    <t>APORTES VARIOS DE LA ESCUELA DE GEOGAFIA</t>
  </si>
  <si>
    <t>02-99-01-16</t>
  </si>
  <si>
    <t>02-99-02-39</t>
  </si>
  <si>
    <t>VALORAC SUBPROD PROC INDUST PIÑA APLIC H</t>
  </si>
  <si>
    <t>02-99-02-54</t>
  </si>
  <si>
    <t>ESTM TALL PRIM MADUR SEX SEIS ESPEC INTE</t>
  </si>
  <si>
    <t>02-99-02-81</t>
  </si>
  <si>
    <t>02-99-02-84</t>
  </si>
  <si>
    <t>DISEÑ IMPL SIST BIODEG PLAG Y OTR CONTAM</t>
  </si>
  <si>
    <t>02-99-03-05</t>
  </si>
  <si>
    <t>02-99-04-09</t>
  </si>
  <si>
    <t>04-99-02-05</t>
  </si>
  <si>
    <t>05-99-02-05</t>
  </si>
  <si>
    <t>07-99-04-01</t>
  </si>
  <si>
    <t>01-97-04-19</t>
  </si>
  <si>
    <t>03-97-04-47</t>
  </si>
  <si>
    <t>01-97-01-31</t>
  </si>
  <si>
    <t>MAESTRIA EN INGENIERIA ELECTRICA</t>
  </si>
  <si>
    <t>PROGRAMA DE POSGRADO EN MATEMATICAS</t>
  </si>
  <si>
    <t>POSGRADO EN ADMINISTRACIÓN PUBLICA</t>
  </si>
  <si>
    <t>01-97-06-10</t>
  </si>
  <si>
    <t>MAEST PROF ING MEC ENF SIST TERMIC Y ENE</t>
  </si>
  <si>
    <t>01-99-95-01</t>
  </si>
  <si>
    <t>01-99-95-08</t>
  </si>
  <si>
    <t>01-99-95-17</t>
  </si>
  <si>
    <t>ESCUELA DE EDUCACION FISICA Y DEPORTES</t>
  </si>
  <si>
    <t>01-99-95-21</t>
  </si>
  <si>
    <t>01-99-95-22</t>
  </si>
  <si>
    <t>01-99-95-25</t>
  </si>
  <si>
    <t>01-99-95-31</t>
  </si>
  <si>
    <t>01-99-95-35</t>
  </si>
  <si>
    <t>01-99-95-47</t>
  </si>
  <si>
    <t>ESC. CIENCIAS DE COMUNICACION COLECTIVA</t>
  </si>
  <si>
    <t>02-99-95-02</t>
  </si>
  <si>
    <t>SIST EDITORIAL DIF. CIENTIF DE LA INVEST</t>
  </si>
  <si>
    <t>02-99-95-03</t>
  </si>
  <si>
    <t>SIST. BIBLIOTECAS, DOCUM. E INFORMACION</t>
  </si>
  <si>
    <t>02-99-95-04</t>
  </si>
  <si>
    <t>02-99-95-06</t>
  </si>
  <si>
    <t>ESTAC. EXPERIMENTAL ALFREDO VOLIO M.</t>
  </si>
  <si>
    <t>02-99-95-23</t>
  </si>
  <si>
    <t>CENTRO INVESTIGAC EN CIENCIAS GEOLOGICAS</t>
  </si>
  <si>
    <t>02-99-95-28</t>
  </si>
  <si>
    <t>02-99-95-29</t>
  </si>
  <si>
    <t>CTRO INVEST. BIOLOGIA CELULAR Y MOLECULA</t>
  </si>
  <si>
    <t>02-99-95-44</t>
  </si>
  <si>
    <t>CENTRO DE INVESTI Y ESTUDIOS POLITICOS</t>
  </si>
  <si>
    <t>02-99-95-48</t>
  </si>
  <si>
    <t>CENTRO INV CS ATOMICAS, NUCLEARES Y MOLE</t>
  </si>
  <si>
    <t>02-99-95-56</t>
  </si>
  <si>
    <t>06-99-95-02</t>
  </si>
  <si>
    <t>06-99-95-10</t>
  </si>
  <si>
    <t>07-99-95-08</t>
  </si>
  <si>
    <t>SEDE OCCIDENTE. ADMINISTRACION</t>
  </si>
  <si>
    <t>DISEÑO GRAFICO SEDE INTERUNIV ALAJUELA</t>
  </si>
  <si>
    <t>01-99-94-39</t>
  </si>
  <si>
    <t>FORTALEC DE LAS ESCUELAS UNIDOCENTES</t>
  </si>
  <si>
    <t>01-99-94-40</t>
  </si>
  <si>
    <t>LA INNOVAC EDUCAT COMO EJE EN LA FORMACI</t>
  </si>
  <si>
    <t>01-99-94-41</t>
  </si>
  <si>
    <t>COMISION TICES-CONARE</t>
  </si>
  <si>
    <t>02-99-93-31</t>
  </si>
  <si>
    <t>PROMOC REGIONAL PUBLIC UNIVERS ESTATALES</t>
  </si>
  <si>
    <t>02-99-93-53</t>
  </si>
  <si>
    <t>GENER VARIAB GENET ARROZ: UNA ALTERN ENF</t>
  </si>
  <si>
    <t>02-99-93-54</t>
  </si>
  <si>
    <t>BUSQ NUEV ANTIMIBROB JARD FUNGIC DE C.R</t>
  </si>
  <si>
    <t>02-99-93-55</t>
  </si>
  <si>
    <t>PROD SOST MED FORTAL CAPAC TECN CR EVAL</t>
  </si>
  <si>
    <t>02-99-93-56</t>
  </si>
  <si>
    <t>COMP TOXIN Y GENOM POTENC PATOG CEP END</t>
  </si>
  <si>
    <t>02-99-93-57</t>
  </si>
  <si>
    <t>ADQU CONJ BAS REFER DE TEXT COMPL Y REV</t>
  </si>
  <si>
    <t>02-99-93-59</t>
  </si>
  <si>
    <t>USO SUST ANTIM FINC CERC MICROCUEN RIO N</t>
  </si>
  <si>
    <t>02-99-93-60</t>
  </si>
  <si>
    <t>APLICA PLASM PRES ATMOS ODONTO; CARAC FI</t>
  </si>
  <si>
    <t>02-99-93-62</t>
  </si>
  <si>
    <t>OBT POLIM BIODEGR POLIHIDR (PHB) A PART</t>
  </si>
  <si>
    <t>02-99-93-63</t>
  </si>
  <si>
    <t>DISP GOB ABAJ ANT FRAGIL URBAN RELAC SEG</t>
  </si>
  <si>
    <t>02-99-93-64</t>
  </si>
  <si>
    <t>REGUL TRANSC VIRUL DE BRUCELLA  ABORTUS</t>
  </si>
  <si>
    <t>02-99-93-68</t>
  </si>
  <si>
    <t>EVAL EFICIEN TRAT EXPERI ENFERM D CHAGAS</t>
  </si>
  <si>
    <t>03-99-94-64</t>
  </si>
  <si>
    <t>RE-EDUCAC Y MAN TECN INTEG RESID SOLIDOS</t>
  </si>
  <si>
    <t>03-99-94-65</t>
  </si>
  <si>
    <t>FORTAL SOCIO-ECON GRUP FORM Y NO FORMALE</t>
  </si>
  <si>
    <t>03-99-94-66</t>
  </si>
  <si>
    <t>FORTAL CAPAC COOPER COSTARR APROV CULTIV</t>
  </si>
  <si>
    <t>04-99-94-22</t>
  </si>
  <si>
    <t>MANTEN PREV SIST INF SAU SIGIE ATLAS</t>
  </si>
  <si>
    <t>DISEÑO IMPLEMT MANTEN ENCUES SAES</t>
  </si>
  <si>
    <t>01-99-92</t>
  </si>
  <si>
    <t>PLAN DE MEJORAM INSTITUC PROG DOCENCIA</t>
  </si>
  <si>
    <t>01-99-96</t>
  </si>
  <si>
    <t>01-99-96-03</t>
  </si>
  <si>
    <t>FORTALEC ESCUELA TECNOLOGIAS D ALIMENTOS</t>
  </si>
  <si>
    <t>01-99-96-04</t>
  </si>
  <si>
    <t>FORTALECIMIENTO ESCUELA DE SALUD PUBLICA</t>
  </si>
  <si>
    <t>02-99-96-04</t>
  </si>
  <si>
    <t>FORTALECIMIENTO DEL CICIMA</t>
  </si>
  <si>
    <t>02-99-96-05</t>
  </si>
  <si>
    <t>CREAC RED INVESTIG ENTRE SRP, SRG Y SRO</t>
  </si>
  <si>
    <t>07-99-96-01</t>
  </si>
  <si>
    <t>SEDE REG .PACIFICO  AULAS Y LABORATORIOS</t>
  </si>
  <si>
    <t>07-99-96-03</t>
  </si>
  <si>
    <t>SEDE REG GUANACASTE AULA Y LABORATORIOS</t>
  </si>
  <si>
    <t>08-99-96-12</t>
  </si>
  <si>
    <t>FORTALECIMIENTO DEL CITA-PROG INVERSION-</t>
  </si>
  <si>
    <t>Reajuste Por Reasignación</t>
  </si>
  <si>
    <t>Sueldos A Base De Comisión</t>
  </si>
  <si>
    <t>Retribución Por Años Servidos</t>
  </si>
  <si>
    <t>Escalafón</t>
  </si>
  <si>
    <t>Retribución Al Ejerc. Liberal De Profes</t>
  </si>
  <si>
    <t>Décimo Tercer Mes</t>
  </si>
  <si>
    <t>Reconocimiento Por Régimen Académico</t>
  </si>
  <si>
    <t>Asignación Profesional</t>
  </si>
  <si>
    <t>Contribución Patronal Desarr.Y Seg.</t>
  </si>
  <si>
    <t>Contribución Patronal Seg. Salud C.C.S.S</t>
  </si>
  <si>
    <t>Contribución Patronal Al Banco Popular</t>
  </si>
  <si>
    <t>Contrib. Patron. Fdos Pensiones Y Otros</t>
  </si>
  <si>
    <t>Contr. Patronal Seg. Pensiones C.C.S.S</t>
  </si>
  <si>
    <t>Aporte Patronal Fdo.Capitaliz. Laboral</t>
  </si>
  <si>
    <t>Aporte Patronal Fdo.Capitalización Labol</t>
  </si>
  <si>
    <t>Contrib. Patronal Fds  Admin. Entes Priv</t>
  </si>
  <si>
    <t>Cuota  Patron Fdo. Pens. Jubil. Mag. Nac</t>
  </si>
  <si>
    <t>Cuota Patronal J.A.P. - U.C.R</t>
  </si>
  <si>
    <t>Amortización Cuentas Pend. Ejerc. Anter.</t>
  </si>
  <si>
    <t>Alquiler De Maquinaria, Equipo Y Mobilia</t>
  </si>
  <si>
    <t>Alquiler De Programas De Computación</t>
  </si>
  <si>
    <t>Servicios Básicos</t>
  </si>
  <si>
    <t>Servicio De Energía Eléctrica</t>
  </si>
  <si>
    <t>Otros Servicios Básicos</t>
  </si>
  <si>
    <t>Información</t>
  </si>
  <si>
    <t>Impresión, Encuadernación Y Otros</t>
  </si>
  <si>
    <t>Servicios De Transfer.Electrónica De Inf</t>
  </si>
  <si>
    <t>Servicios De Gestión Y Apoyo</t>
  </si>
  <si>
    <t>Servicios Médicos Y De Laboratorio</t>
  </si>
  <si>
    <t>Servicios Jurídicos</t>
  </si>
  <si>
    <t>Servicios De Ingeniería</t>
  </si>
  <si>
    <t>Servicios De Ciencias Económ. Y Sociales</t>
  </si>
  <si>
    <t>Otros Servicios De Gestión Y Apoyo</t>
  </si>
  <si>
    <t>Transporte Dentro Del País</t>
  </si>
  <si>
    <t>Viáticos Dentro Del País</t>
  </si>
  <si>
    <t>Viáticos En El Exterior</t>
  </si>
  <si>
    <t>Seguros De Automóviles</t>
  </si>
  <si>
    <t>Actividades De Capacitación</t>
  </si>
  <si>
    <t>Gastos De Representación Institucional</t>
  </si>
  <si>
    <t>Mantenimiento Y Reparación</t>
  </si>
  <si>
    <t>Mantenimiento De Vías De Comunicación</t>
  </si>
  <si>
    <t>Manten. Y Reparación Maq.Y Equipo Produc</t>
  </si>
  <si>
    <t>Productos Químicos Y Conexos</t>
  </si>
  <si>
    <t>Productos Farmacéuticos Y Medicinales</t>
  </si>
  <si>
    <t>Otros Productos Químicos</t>
  </si>
  <si>
    <t>Reactivos Y Útiles De Laboratorio</t>
  </si>
  <si>
    <t>Alimentos Para  Animales</t>
  </si>
  <si>
    <t>Materiales Y Productos Metálicos</t>
  </si>
  <si>
    <t>Útiles,Materiales Y Suministros Diversos</t>
  </si>
  <si>
    <t>Útiles Y Materiales De Computación</t>
  </si>
  <si>
    <t>Productos De Papel, Cartón E Impresos</t>
  </si>
  <si>
    <t>Útiles Y Materiales De Limpieza</t>
  </si>
  <si>
    <t>Otros Útiles, Materiales Y Suministros</t>
  </si>
  <si>
    <t xml:space="preserve"> 5-99-01</t>
  </si>
  <si>
    <t xml:space="preserve"> 5-99-01-00</t>
  </si>
  <si>
    <t xml:space="preserve"> 6-02-02-04</t>
  </si>
  <si>
    <t>Becas A Profesores</t>
  </si>
  <si>
    <t>Amortiz. De Prestamos Del Sector Privado</t>
  </si>
  <si>
    <t>1,0,0,000,00,0,0,000</t>
  </si>
  <si>
    <t>1,1,0,0,00,00,0,0,000</t>
  </si>
  <si>
    <t>1,1,3,0,00,00,0,0,000</t>
  </si>
  <si>
    <t>1,1,3,2,00,00,0,0,000</t>
  </si>
  <si>
    <t>1,1,3,2,01,00,0,0,000</t>
  </si>
  <si>
    <t>1,1,3,2,01,02,0,0,000</t>
  </si>
  <si>
    <t>1,1,3,2,01,02,1,0,000</t>
  </si>
  <si>
    <t>1,1,3,2,01,09,0,0,000</t>
  </si>
  <si>
    <t>1,1,3,2,01,09,1,0,000</t>
  </si>
  <si>
    <t>1,1,9,0,00,00,0,0,000</t>
  </si>
  <si>
    <t>1,1,9,9,00,00,0,0,000</t>
  </si>
  <si>
    <t>1,1,9,9,01,00,0,0,000</t>
  </si>
  <si>
    <t>1,1,9,9,02,00,0,0,000</t>
  </si>
  <si>
    <t>1,3,0,0,00,00,0,0,000</t>
  </si>
  <si>
    <t>1,3,1,0,00,00,0,0,000</t>
  </si>
  <si>
    <t>1,3,1,1,00,00,0,0,000</t>
  </si>
  <si>
    <t>1,3,1,1,04,00,0,0,000</t>
  </si>
  <si>
    <t>1,3,1,1,04,01,0,0,000</t>
  </si>
  <si>
    <t>1,3,1,1,04,02,0,0,000</t>
  </si>
  <si>
    <t>1,3,1,1,09,00,0,0,000</t>
  </si>
  <si>
    <t>1,3,1,1,09,01,0,0,000</t>
  </si>
  <si>
    <t>1,3,1,2,00,00,0,0,000</t>
  </si>
  <si>
    <t>1,3,1,2,04,00,0,0,000</t>
  </si>
  <si>
    <t>1,3,1,2,04,01,0,0,000</t>
  </si>
  <si>
    <t>1,3,1,2,04,01,1,0,000</t>
  </si>
  <si>
    <t>1,3,1,2,09,00,0,0,000</t>
  </si>
  <si>
    <t>1,3,1,2,09,03,0,0,000</t>
  </si>
  <si>
    <t>1,3,1,2,09,03,1,0,000</t>
  </si>
  <si>
    <t>1,3,1,2,09,06,0,0,000</t>
  </si>
  <si>
    <t>1,3,1,2,09,06,1,0,000</t>
  </si>
  <si>
    <t>1,3,1,2,09,09,0,0,000</t>
  </si>
  <si>
    <t>1,3,1,2,09,09,1,0,000</t>
  </si>
  <si>
    <t>1,3,1,2,09,09,2,0,000</t>
  </si>
  <si>
    <t>1,3,1,2,09,09,3,0,000</t>
  </si>
  <si>
    <t>1,3,1,2,09,09,4,0,000</t>
  </si>
  <si>
    <t>1,3,1,2,09,09,5,0,000</t>
  </si>
  <si>
    <t>1,3,1,2,09,09,7,0,000</t>
  </si>
  <si>
    <t>Amortización SIEDIN-RECTORIA</t>
  </si>
  <si>
    <t>1,3,1,2,09,09,9,0,000</t>
  </si>
  <si>
    <t>Servicios Radioemisoras UCR</t>
  </si>
  <si>
    <t>1.3.1.2.09.09.10.0.000</t>
  </si>
  <si>
    <t>Servicios Canal 15</t>
  </si>
  <si>
    <t>1.3.1.2.09.09.11.0.000</t>
  </si>
  <si>
    <t>Servicios de Impresión SIEDIN</t>
  </si>
  <si>
    <t>1,3,1,3,00,00,0,0,000</t>
  </si>
  <si>
    <t>1,3,1,3,02,00,0,0,000</t>
  </si>
  <si>
    <t>1,3,1,3,02,02,0,0,000</t>
  </si>
  <si>
    <t>1,3,1,3,02,02,0,0,010</t>
  </si>
  <si>
    <t>1,3,1,3,02,02,0,0,020</t>
  </si>
  <si>
    <t>1,3,1,3,02,02,0,0,030</t>
  </si>
  <si>
    <t>1,3,1,3,02,02,0,0,040</t>
  </si>
  <si>
    <t>1,3,1,3,02,02,0,0,050</t>
  </si>
  <si>
    <t>1,3,1,3,02,02,0,0,060</t>
  </si>
  <si>
    <t>1,3,1,3,02,02,0,0,070</t>
  </si>
  <si>
    <t>1,3,1,3,02,02,0,0,090</t>
  </si>
  <si>
    <t>1,3,1,3,02,02,0,0,100</t>
  </si>
  <si>
    <t>1,3,1,3,02,02,0,0,120</t>
  </si>
  <si>
    <t>1,3,1,3,02,02,0,0,140</t>
  </si>
  <si>
    <t>1,3,1,3,02,02,0,0,160</t>
  </si>
  <si>
    <t>1,3,1,3,02,02,0,0,170</t>
  </si>
  <si>
    <t>1,3,1,3,02,02,0,0,180</t>
  </si>
  <si>
    <t>Carne funcionarios UCR</t>
  </si>
  <si>
    <t>1,3,2,0,00,00,0,0,000</t>
  </si>
  <si>
    <t>1,3,2,3,00,00,0,0,000</t>
  </si>
  <si>
    <t>1,3,2,3,01,00,0,0,000</t>
  </si>
  <si>
    <t>1,3,2,3,01,06,0,0,000</t>
  </si>
  <si>
    <t>1,3,2,3,02,00,0,0,000</t>
  </si>
  <si>
    <t>1,3,2,3,02,07,0,0,000</t>
  </si>
  <si>
    <t>1,3,2,3,03,00,0,0,000</t>
  </si>
  <si>
    <t>1,3,2,3,03,01,0,0,000</t>
  </si>
  <si>
    <t>1,3,2,3,03,04,0,0,000</t>
  </si>
  <si>
    <t>1,3,3,0,00,00,0,0,000</t>
  </si>
  <si>
    <t>1,3,3,1,00,00,0,0,000</t>
  </si>
  <si>
    <t>1,3,3,1,09,00,0,0,000</t>
  </si>
  <si>
    <t>1,3,3,1,09,01,0,0,000</t>
  </si>
  <si>
    <t>1,3,3,1,09,02,0,0,000</t>
  </si>
  <si>
    <t>1,3,3,1,09,03,0,0,000</t>
  </si>
  <si>
    <t>1,3,9,0,00,00,0,0,000</t>
  </si>
  <si>
    <t>1,3,9,1,00,00,0,0,000</t>
  </si>
  <si>
    <t>1,3,9,1,01,00,0,0,000</t>
  </si>
  <si>
    <t>1,3,9,1,02,00,0,0,000</t>
  </si>
  <si>
    <t>1,3,9,1,05,00,0,0,000</t>
  </si>
  <si>
    <t>1,3,9,1,06,00,0,0,000</t>
  </si>
  <si>
    <t>1,3,9,9,00,00,0,0,000</t>
  </si>
  <si>
    <t>1,3,9,9,01,00,0,0,000</t>
  </si>
  <si>
    <t>1,4,0,0,00,00,0,0,000</t>
  </si>
  <si>
    <t>1,4,1,0,00,00,0,0,000</t>
  </si>
  <si>
    <t>Transfe. Ctes. del Sector Público</t>
  </si>
  <si>
    <t>1,4,1,1,00,00,0,0,000</t>
  </si>
  <si>
    <t>1,4,1,2,00,00,0,0,000</t>
  </si>
  <si>
    <t>1,4,1,3,00,00,0,0,000</t>
  </si>
  <si>
    <t>1,4,2,0,00,00,0,0,000</t>
  </si>
  <si>
    <t>1,4,3,0,00,00,0,0,000</t>
  </si>
  <si>
    <t>1,4,3,9,00,00,0,0,000</t>
  </si>
  <si>
    <t>2,0,0,0,00,00,0,0,000</t>
  </si>
  <si>
    <t>2,3,0,0,00,00,0,0,000</t>
  </si>
  <si>
    <t>RECUPERACIÓN DE PRESTAMOS</t>
  </si>
  <si>
    <t>2,3,2,0,00,00,0,0,000</t>
  </si>
  <si>
    <t>3,0,0,0,00,00,0,0,000</t>
  </si>
  <si>
    <t>3,3,0,0,00,00,0,0,000</t>
  </si>
  <si>
    <t>3,3,1,0,00,00,0,0,000</t>
  </si>
  <si>
    <t>3,3,1,1,00,00,0,0,000</t>
  </si>
  <si>
    <t>3,3,1,2,00,00,0,0,000</t>
  </si>
  <si>
    <t>3,3,2,0,00,00,0,0,000</t>
  </si>
  <si>
    <t>3,3,2,0,01,00,0,0,000</t>
  </si>
  <si>
    <t>3,3,2,0,01,01,0,0,000</t>
  </si>
  <si>
    <t>3,3,2,0,01,02,0,0,000</t>
  </si>
  <si>
    <t>3,3,2,0,01,03,0,0,000</t>
  </si>
  <si>
    <t>3.3.2.0.01.04.0.0.000</t>
  </si>
  <si>
    <t>Superavit Comprometido Plan de Mejoramiento Inst.</t>
  </si>
  <si>
    <t>3,3,2,0,02,00,0,0,000</t>
  </si>
  <si>
    <t>3,3,2,0,03,00,0,0,000</t>
  </si>
  <si>
    <t>3,3,2,0,03,01,0,0,000</t>
  </si>
  <si>
    <t>3,3,2,0,03,02,0,0,000</t>
  </si>
  <si>
    <t>3,3,2,0,04,00,0,0,000</t>
  </si>
  <si>
    <t>3,3,2,0,05,00,0,0,000</t>
  </si>
  <si>
    <t>3,3,2,0,06,00,0,0,000</t>
  </si>
  <si>
    <t>3,3,2,0,07,00,0,0,000</t>
  </si>
  <si>
    <t>3,3,2,0,09,00,0,0,000</t>
  </si>
  <si>
    <t>3,3,2,0,13,00,0,0,000</t>
  </si>
  <si>
    <t>3,3,2,0,15,00,0,0,000</t>
  </si>
  <si>
    <t>FÍSICA</t>
  </si>
  <si>
    <t>SITUACIÓN PRESUPUESTARIA</t>
  </si>
  <si>
    <t>SITUACIÓN FINANCIERA</t>
  </si>
  <si>
    <t xml:space="preserve">SITUACIÓN PRESUPUESTARIA </t>
  </si>
  <si>
    <t>RESUMEN DE INGRESOS POR CLASE BÁSICA</t>
  </si>
  <si>
    <t>Valuación Estim. por Obsolescencia Inventarios</t>
  </si>
  <si>
    <t>Efectivo neto en actividades de inversión</t>
  </si>
  <si>
    <t>Efectivo neto en actividades de financiamiento</t>
  </si>
  <si>
    <t>INGRESOS (Por Clase Básica)</t>
  </si>
  <si>
    <t>Ingresos reales:</t>
  </si>
  <si>
    <t>Egresos reales:</t>
  </si>
  <si>
    <t>Disponible financiero al 30-06-2016</t>
  </si>
  <si>
    <t>(1)</t>
  </si>
  <si>
    <t>Disponible presupuestario por ejecutar</t>
  </si>
  <si>
    <t>FINANCIAMIENTO COMPLEMENTARIO</t>
  </si>
  <si>
    <t xml:space="preserve">CAPITAL LIBROS </t>
  </si>
  <si>
    <t>APORTES DE CAPITAL</t>
  </si>
  <si>
    <t>SALDOS AL 31 DE DICIEMBRE DE  2015</t>
  </si>
  <si>
    <t>Superávit Fondo de Préstamo</t>
  </si>
  <si>
    <t>Movimientos de estimación</t>
  </si>
  <si>
    <t>Diferencias de ingresos y egresos (presupuestario)</t>
  </si>
  <si>
    <t>Aumento fondo de préstamo</t>
  </si>
  <si>
    <t>SALDOS AL 31 DE DICIEMBRE DE 2016</t>
  </si>
  <si>
    <t>SALDOS AL 30 DE JUNIO DE 2017</t>
  </si>
  <si>
    <t>VICERRECTORÍA DE ADMINISTRACIÓN</t>
  </si>
  <si>
    <t>OFICINA DE ADMINISTRACIÓN FINANCIERA</t>
  </si>
  <si>
    <t>ESTADO DE SITUACIÓN FINANCIERA</t>
  </si>
  <si>
    <t>UNIVERSIDAD DE COSTA RICA</t>
  </si>
  <si>
    <t>ESTADO DE CAMBIOS EN LOS ACTIVOS NETOS/PATRIMONIO</t>
  </si>
  <si>
    <t>ESTADO DE FLUJO DE EFECTIVO</t>
  </si>
  <si>
    <t>ESTADO DE SITUACIÓN FINANCIERA COMPARATIVO</t>
  </si>
  <si>
    <t>Estimación para Incobrables de Cuentas por Cobrar</t>
  </si>
  <si>
    <t>Estimación para Incobrables de Préstamos a Profesores y Estudiantes</t>
  </si>
  <si>
    <t>Estimación por Obsolecencia en Inventarios (Bodega)</t>
  </si>
  <si>
    <t>Activos Biológicos</t>
  </si>
  <si>
    <t>Sub Total Propiedad, Planta y Equipo</t>
  </si>
  <si>
    <t>Propiedad, Planta y Equipo (Neto)</t>
  </si>
  <si>
    <t>Cuentas por Cobrar y Otros Deudores, Neto</t>
  </si>
  <si>
    <t>Préstamos a Profesores y Estudiantes, Neto</t>
  </si>
  <si>
    <t>Inventarios en Bodega, Neto</t>
  </si>
  <si>
    <t>Fondo de Préstamos, Neto</t>
  </si>
  <si>
    <t>Diferencia de Ingresos sobre Egresos</t>
  </si>
  <si>
    <t>2017</t>
  </si>
  <si>
    <t>Instituciones Descentralizadas no Empresariales</t>
  </si>
  <si>
    <t xml:space="preserve">Ingresos de Financiamiento </t>
  </si>
  <si>
    <t xml:space="preserve">FONDOS CORRIENTES </t>
  </si>
  <si>
    <t xml:space="preserve">EMPRESAS AUXILIARES </t>
  </si>
  <si>
    <t xml:space="preserve">FONDOS RESTRINGIDOS </t>
  </si>
  <si>
    <t xml:space="preserve">FONDOS INTRAPROYECTOS </t>
  </si>
  <si>
    <t xml:space="preserve">FONDOS DEL SISTEMA (CONARE) </t>
  </si>
  <si>
    <t xml:space="preserve">Nota: </t>
  </si>
  <si>
    <r>
      <t xml:space="preserve">EGRESOS (Por partida)   </t>
    </r>
    <r>
      <rPr>
        <sz val="11"/>
        <rFont val="Arial"/>
        <family val="2"/>
      </rPr>
      <t>(Notas 1 y 2)</t>
    </r>
  </si>
  <si>
    <r>
      <t xml:space="preserve">EGRESOS    </t>
    </r>
    <r>
      <rPr>
        <sz val="11"/>
        <rFont val="Arial"/>
        <family val="2"/>
      </rPr>
      <t>(Notas 1 y 2)</t>
    </r>
  </si>
  <si>
    <t xml:space="preserve">               </t>
  </si>
  <si>
    <t>1-  No se incluyen los compromisos de presupuesto debido a que su efecto es presupuestario y no financiero, por tanto no constituyen un gasto real al 30 de junio de 2017.  Ver anexo No.04</t>
  </si>
  <si>
    <t xml:space="preserve">        </t>
  </si>
  <si>
    <t>2-  Para el presente período los egresos capitalizables se integran a los respectivos programas. En los anexos No.2 y 3 se muestran los egresos capitalizables.</t>
  </si>
  <si>
    <t xml:space="preserve">  </t>
  </si>
  <si>
    <t xml:space="preserve">             Derechos Administrativos</t>
  </si>
  <si>
    <t>Transferencias Ctes. Sector Privado</t>
  </si>
  <si>
    <t>Transferencias Ctes. Sector Externo</t>
  </si>
  <si>
    <t>Notas:</t>
  </si>
  <si>
    <r>
      <t xml:space="preserve">EGRESOS POR OBJETO DEL GASTO </t>
    </r>
    <r>
      <rPr>
        <b/>
        <sz val="11"/>
        <color indexed="8"/>
        <rFont val="Arial"/>
        <family val="2"/>
      </rPr>
      <t xml:space="preserve"> (2)</t>
    </r>
  </si>
  <si>
    <r>
      <t>Bienes Duraderos</t>
    </r>
    <r>
      <rPr>
        <b/>
        <sz val="11"/>
        <color indexed="8"/>
        <rFont val="Arial"/>
        <family val="2"/>
      </rPr>
      <t xml:space="preserve"> (1)</t>
    </r>
  </si>
  <si>
    <r>
      <rPr>
        <b/>
        <sz val="10"/>
        <color indexed="8"/>
        <rFont val="Arial"/>
        <family val="2"/>
      </rPr>
      <t>(1)</t>
    </r>
    <r>
      <rPr>
        <sz val="10"/>
        <color indexed="8"/>
        <rFont val="Arial"/>
        <family val="2"/>
      </rPr>
      <t xml:space="preserve"> Cifra real del egreso capitalizable que se observa en el "Estado de Egresos Capitalizables por Sección al 30 de junio de 2017"</t>
    </r>
  </si>
  <si>
    <r>
      <rPr>
        <b/>
        <sz val="10"/>
        <color indexed="8"/>
        <rFont val="Arial"/>
        <family val="2"/>
      </rPr>
      <t>(2)</t>
    </r>
    <r>
      <rPr>
        <sz val="10"/>
        <color indexed="8"/>
        <rFont val="Arial"/>
        <family val="2"/>
      </rPr>
      <t xml:space="preserve"> No se incluyen los compromisos de presupuesto debido a que su efecto es presupuestario y no financiero, por tanto no constituyen un gasto real al 30 de junio de 2017.  Ver anexo No. 4 para el año 2017.</t>
    </r>
  </si>
  <si>
    <t>TOTAL DIFERENCIA ING. SOBRE EGRESOS 30 DE JUNIO DE 2017</t>
  </si>
  <si>
    <t>Inversiones corto plazo</t>
  </si>
  <si>
    <t>Inversiones largo plazo</t>
  </si>
  <si>
    <t>Por los períodos terminados al 30 de junio de 2017 y 2016</t>
  </si>
  <si>
    <t>Por los períodos terminados del 01 de enero al 30 de junio de 2017 y 2016</t>
  </si>
  <si>
    <t>Situación Presupuestaria Fondos Totales</t>
  </si>
  <si>
    <t>% Ejec.</t>
  </si>
  <si>
    <t xml:space="preserve">Presupuestados </t>
  </si>
  <si>
    <t xml:space="preserve">Ingresos Reales </t>
  </si>
  <si>
    <t>Ingresos no percibidos en el Período</t>
  </si>
  <si>
    <r>
      <t xml:space="preserve">  Egresos Reales </t>
    </r>
    <r>
      <rPr>
        <b/>
        <sz val="10.5"/>
        <rFont val="Arial"/>
        <family val="2"/>
      </rPr>
      <t>(1)</t>
    </r>
  </si>
  <si>
    <t>(1) No se incluyen los compromisos de presupuesto debido a que su efecto es presupuestario y no financiero, por tanto no constituyen un gasto real al 30 de junio de 2017. Ver Anexo N° 4.</t>
  </si>
  <si>
    <t>% EJEC.</t>
  </si>
  <si>
    <t>FDOS. CTES. PARA OPERACIONES</t>
  </si>
  <si>
    <t>Multas,Sanciones,Remates y Confiscaciones</t>
  </si>
  <si>
    <t>Transf. Ctes del Sector Público:</t>
  </si>
  <si>
    <t xml:space="preserve">             Transf. Ctes del Gobierno Central</t>
  </si>
  <si>
    <t xml:space="preserve">             Transf. Ctes de Inst. Desc. No Emp.</t>
  </si>
  <si>
    <t>Ingresos de la Propiedad (Inter. sobre Prést.)</t>
  </si>
  <si>
    <t>−−</t>
  </si>
  <si>
    <t xml:space="preserve">             Préstamos CP a Estudiantes</t>
  </si>
  <si>
    <t xml:space="preserve">             Préstamos LP a Estudiantes</t>
  </si>
  <si>
    <t xml:space="preserve">             Reintegro 20% Becas a Profesores</t>
  </si>
  <si>
    <t xml:space="preserve">             Préstamos a Profesores</t>
  </si>
  <si>
    <t xml:space="preserve">             Incumplimiento Contrato de Beca</t>
  </si>
  <si>
    <t>PROG. POSGRADO FINANC. COMPL.</t>
  </si>
  <si>
    <t xml:space="preserve">               Derechos Administrativos</t>
  </si>
  <si>
    <t xml:space="preserve">                Venta de Servicios</t>
  </si>
  <si>
    <t>Transferencias Ctes. Del Sector Privado</t>
  </si>
  <si>
    <t xml:space="preserve">             Transf. Ctes de Inst. Descentral</t>
  </si>
  <si>
    <t>Federación de Estudiantes, nuevo edificio (903)</t>
  </si>
  <si>
    <t>Centro de Investigación en Hematología y Trastornos Afines, Edificio (905)</t>
  </si>
  <si>
    <t>Esc. Educ. Física y Deportes, Ampliación Biblioteca (906)</t>
  </si>
  <si>
    <t>Instituto Clodomiro Picado Bodega - Comedor (907)</t>
  </si>
  <si>
    <t>Esc. Educ. Física y Deportes, Ampliación Bodegas Material Depor (908)</t>
  </si>
  <si>
    <t>Finca 2, Readecuación de Hidrantes (910)</t>
  </si>
  <si>
    <t>Esc. Biología, Sistema Fijo Contra Incendios Edif. Existente (913)</t>
  </si>
  <si>
    <t>Facultad de Bellas Artes - Taller de Fundición (914)</t>
  </si>
  <si>
    <t>Sede Occidente, Sistema Fijo Contra Incendios Módulo de Aulas (915)</t>
  </si>
  <si>
    <t>Sede Regional de Occidente - aulas (916)</t>
  </si>
  <si>
    <t>Fac. Letras Sistema Fijo Contra Incendios Edificio Existente (918)</t>
  </si>
  <si>
    <t>Escuela de Arquitectura, Remodelación de Espacios Adm. y Doc. (919)</t>
  </si>
  <si>
    <t>Rec. Paraíso, aulas, servicios sanitarios, area recreativa y Odontología (921)</t>
  </si>
  <si>
    <t>Escuela de Artes Plásticas - Edificio (925)</t>
  </si>
  <si>
    <t>Ctro. De Inv. Ciencias e Ing. de Materiales (CICIMA) Edif. Adm. (927)</t>
  </si>
  <si>
    <t>Facult. De Cienc. Económ. Readecuac. Estruct. Primera Etapa (928)</t>
  </si>
  <si>
    <t>Sede Regional de Guanacaste - Planta de Tratamiento (930)</t>
  </si>
  <si>
    <t>Escuela de Química, Escalera de Emergencia (931)</t>
  </si>
  <si>
    <t>Escuela de Estudios Generales, Diseño Readecuación Estructura (933)</t>
  </si>
  <si>
    <t>Sede de Guanacaste, Elevador (937)</t>
  </si>
  <si>
    <t>Sede Regional del Atlántico - Biblioteca (939)</t>
  </si>
  <si>
    <t>Centro Invest. Estudios Mujer, Edificio (943)</t>
  </si>
  <si>
    <t>Recinto de Guápiles, planta de tratamiento (947)</t>
  </si>
  <si>
    <t>Finca 3, Instalaciones Deportivas, planta de tratamiento (948)</t>
  </si>
  <si>
    <t>Finca 1 y Finca 2, Puente de Comunicación (950)</t>
  </si>
  <si>
    <t>Facultad de Ingeniería, conexión pluvial área de parqueo (953)</t>
  </si>
  <si>
    <t>Esc. De Salud Pública, Muro de Contención y Trabajos Adición (956)</t>
  </si>
  <si>
    <t xml:space="preserve">Terrenos (957)                   </t>
  </si>
  <si>
    <t>Escuela de Enfermería, Edificio Tercera Etapa (958)</t>
  </si>
  <si>
    <t>Recinto de Guápiles - Pabellón de Aulas y Servicios Sanitarios (961)</t>
  </si>
  <si>
    <t>Recinto de Grecia, Bodega Reactivos (963)</t>
  </si>
  <si>
    <t>Recinto de Grecia,Salón Multiuso y Vestíbulo (964)</t>
  </si>
  <si>
    <t>Instalaciones Deport.Mejora Estacionamiento Junto a Piscina (966)</t>
  </si>
  <si>
    <t>Escuela de Economía Agrícola, Remodelación Espacio Físico (967)</t>
  </si>
  <si>
    <t>Facultad de Farmacia, Readecuación Eléctrica (969)</t>
  </si>
  <si>
    <t>Escuela Centroamericana de Geología, Montacargas (970)</t>
  </si>
  <si>
    <t>Sede del Pacífico, Esparza, Planta de Tratamiento (976)</t>
  </si>
  <si>
    <t>CICANUM - Bodega Desechos Radiactivos Desuso (977)</t>
  </si>
  <si>
    <t>Sede del Pacífico, Cancha y Pista Sintética (982)</t>
  </si>
  <si>
    <t>INIE Filtraciones (984)</t>
  </si>
  <si>
    <t>(2)</t>
  </si>
  <si>
    <t>(3)</t>
  </si>
  <si>
    <t>Canal 15, Adq. Terreno Cerro Guardian en Caartago (999)</t>
  </si>
  <si>
    <t>Mega Proyectos (965)</t>
  </si>
  <si>
    <t>Atención Cuentas Pendientes - Inversiones (920)</t>
  </si>
  <si>
    <t>(4)</t>
  </si>
  <si>
    <t>(5)</t>
  </si>
  <si>
    <t>(6)</t>
  </si>
  <si>
    <t>(7)</t>
  </si>
  <si>
    <r>
      <rPr>
        <b/>
        <sz val="8"/>
        <rFont val="Arial"/>
        <family val="2"/>
      </rPr>
      <t>(1)</t>
    </r>
    <r>
      <rPr>
        <sz val="8"/>
        <rFont val="Arial"/>
        <family val="2"/>
      </rPr>
      <t xml:space="preserve">  El presupuesto, por ¢198,0 millones, se incluye en el Presupuesto Extraordinario No. 2-2017 que se encuentra en trámite de aprobación en la Contrarloría General de la República.</t>
    </r>
  </si>
  <si>
    <r>
      <rPr>
        <b/>
        <sz val="8"/>
        <rFont val="Arial"/>
        <family val="2"/>
      </rPr>
      <t>(2)</t>
    </r>
    <r>
      <rPr>
        <sz val="8"/>
        <rFont val="Arial"/>
        <family val="2"/>
      </rPr>
      <t xml:space="preserve">  El presupuesto, por ¢15,8 millones, se incluye en el Presupuesto Extraordinario No. 2-2017 que se encuentra en trámite de aprobación en la Contrarloría General de la República.</t>
    </r>
  </si>
  <si>
    <r>
      <rPr>
        <b/>
        <sz val="8"/>
        <rFont val="Arial"/>
        <family val="2"/>
      </rPr>
      <t>(3)</t>
    </r>
    <r>
      <rPr>
        <sz val="8"/>
        <rFont val="Arial"/>
        <family val="2"/>
      </rPr>
      <t xml:space="preserve">  El presupuesto, por ¢15,5 millones, se incluye en la Modificación Interna No. 3-2017 que se encuentra en trámite de aprobación en el Consejo Universitario.</t>
    </r>
  </si>
  <si>
    <r>
      <rPr>
        <b/>
        <sz val="8"/>
        <rFont val="Arial"/>
        <family val="2"/>
      </rPr>
      <t>(4)</t>
    </r>
    <r>
      <rPr>
        <sz val="8"/>
        <rFont val="Arial"/>
        <family val="2"/>
      </rPr>
      <t xml:space="preserve">  El presupuesto, por ¢3.109,5 millones, se incluye en el Presupuesto Extraordinario No. 2-2017 que se encuentra en trámite de aprobación en la Contrarloría General de la República.</t>
    </r>
  </si>
  <si>
    <r>
      <rPr>
        <b/>
        <sz val="8"/>
        <rFont val="Arial"/>
        <family val="2"/>
      </rPr>
      <t>(5)</t>
    </r>
    <r>
      <rPr>
        <sz val="8"/>
        <rFont val="Arial"/>
        <family val="2"/>
      </rPr>
      <t xml:space="preserve">  El presupuesto, por ¢17,7 millones, se incluye en el Presupuesto Extraordinario No. 2-2017 que se encuentra en trámite de aprobación en la Contrarloría General de la República.</t>
    </r>
  </si>
  <si>
    <r>
      <rPr>
        <b/>
        <sz val="8"/>
        <rFont val="Arial"/>
        <family val="2"/>
      </rPr>
      <t>(6)</t>
    </r>
    <r>
      <rPr>
        <sz val="8"/>
        <rFont val="Arial"/>
        <family val="2"/>
      </rPr>
      <t xml:space="preserve">  El presupuesto, por ¢826,2 millones, se incluye en el Presupuesto Extraordinario No. 2-2017 que se encuentra en trámite de aprobación en la Contrarloría General de la República.</t>
    </r>
  </si>
  <si>
    <r>
      <rPr>
        <b/>
        <sz val="8"/>
        <rFont val="Arial"/>
        <family val="2"/>
      </rPr>
      <t>(7)</t>
    </r>
    <r>
      <rPr>
        <sz val="8"/>
        <rFont val="Arial"/>
        <family val="2"/>
      </rPr>
      <t xml:space="preserve"> Sobregiro autorizado por las autoridades universitarias mediante oficio R-753-2017,  el cual será ajustado en el mes de julio mediante modificaciòn presupuestaria.</t>
    </r>
  </si>
  <si>
    <t>Para los períodos terminados al 30 de junio de 2017 y 2016</t>
  </si>
  <si>
    <t>Obras Marítimas y Fluviales</t>
  </si>
  <si>
    <t>---</t>
  </si>
  <si>
    <t>Recursos Información Bibliográfica Elect</t>
  </si>
  <si>
    <t>Otros Bienes Preexistentes</t>
  </si>
  <si>
    <r>
      <rPr>
        <b/>
        <sz val="10"/>
        <rFont val="Arial"/>
        <family val="2"/>
      </rPr>
      <t>(1)</t>
    </r>
    <r>
      <rPr>
        <sz val="10"/>
        <rFont val="Arial"/>
        <family val="2"/>
      </rPr>
      <t xml:space="preserve">  El presupuesto del superávit de compromisos al 31-12-2016, se incluye en el Presupuesto Extraordinario No. 2-2017 que se encuentra en trámite de aprobación en la Contrarloría General de la República.</t>
    </r>
  </si>
  <si>
    <r>
      <rPr>
        <b/>
        <sz val="10"/>
        <rFont val="Arial"/>
        <family val="2"/>
      </rPr>
      <t>(2)</t>
    </r>
    <r>
      <rPr>
        <sz val="10"/>
        <rFont val="Arial"/>
        <family val="2"/>
      </rPr>
      <t xml:space="preserve">  El presupuesto de los superávit de compromisos y específico de los proyectos del Vìnculo Externo al 31-12-2016, se incluyen en el Presupuesto Extraordinario No. 2-2017 que se encuentra en trámite de aprobación en la Contrarloría General de la República.</t>
    </r>
  </si>
  <si>
    <t>Expresado en colones</t>
  </si>
  <si>
    <t>Expresado en miles de colones</t>
  </si>
  <si>
    <t>PROG. POSGRADO FINANCIAMIENTO  COMPLEMENTARIO</t>
  </si>
  <si>
    <t>PROG. POSGRADO</t>
  </si>
  <si>
    <t>PLAN MEJORAMIENTO</t>
  </si>
  <si>
    <t>FINANC. COMP</t>
  </si>
  <si>
    <t>PORCENTAJE</t>
  </si>
  <si>
    <t>MONTO COLONES</t>
  </si>
  <si>
    <t>Banco Nacional de Costa Rica</t>
  </si>
  <si>
    <t>Banco Crédito Agrícola</t>
  </si>
  <si>
    <t>Banco de Costa Rica</t>
  </si>
  <si>
    <t>BCR Valores</t>
  </si>
  <si>
    <t>Popular Valores</t>
  </si>
  <si>
    <t>BN Valores</t>
  </si>
  <si>
    <t>Al 30 de junio de 2017</t>
  </si>
  <si>
    <t>Al 30 de Junio de 2017</t>
  </si>
  <si>
    <t>MONTO</t>
  </si>
  <si>
    <t xml:space="preserve">Al 30 de Junio de 2017  </t>
  </si>
  <si>
    <t>MONTO DÓLARES</t>
  </si>
  <si>
    <t>Disponible financiero al 31-12-2016</t>
  </si>
  <si>
    <t>CAPACITAC PERSON DEL CENT EVALUA  ACADEM</t>
  </si>
  <si>
    <t>LEY 7972 CONVENIO CONAPAM-UCR</t>
  </si>
  <si>
    <t>CONGR LATINOAMER PROBABILID ESTAD MATEMA</t>
  </si>
  <si>
    <t>RED INTERDISC IMPLEMENT PLATAF DESC BIOM</t>
  </si>
  <si>
    <t>PA NEOTR COMP MODUL INMUNID ADAPT DUR</t>
  </si>
  <si>
    <t>APROV RASTR D PIÑA P/PRODUCC BIOENERGIA</t>
  </si>
  <si>
    <t>REUN INVESTIG EXPERT VIRUS ARN HUMANOS</t>
  </si>
  <si>
    <t>EXCEDENTES PROG POSG ESPECIALIDADES MEDICAS</t>
  </si>
  <si>
    <t>PROCES HIDROCLIMAT CORRED SECO CENTROAMER</t>
  </si>
  <si>
    <t>ESUD PROP TRANS ELECT BIOMAC A TRAV NAN</t>
  </si>
  <si>
    <t>REDUC ESCAL DINAM PROYECC CAMB CLIM AMER</t>
  </si>
  <si>
    <t>MEJORAMIENTO DE LA INDUSTIA LACTEA</t>
  </si>
  <si>
    <t>CLASIF SUEL CON SE UBIC NUEV ESTAC ACELE</t>
  </si>
  <si>
    <t>MARIC PEQ ESC MULT INTEGR PESC RECOLEC</t>
  </si>
  <si>
    <t>EFECT CAMB CLIM OBSERV SOB CICL HIDROLOG</t>
  </si>
  <si>
    <t>PAP ESTR OXIDAT EFECT CITOTOX TOXIN EPSI</t>
  </si>
  <si>
    <t>DISEÑ ESTRAT PAIS FORMUL DESARR PROYEC E</t>
  </si>
  <si>
    <t>ESTAB CULT BIOENERG FUENT ENERG ALTERNA</t>
  </si>
  <si>
    <t>ESTD ACTAR REG INVAL VEJ Y MUER IVM</t>
  </si>
  <si>
    <t>OLIMPIADAS COSTARRICENSES DE MATEMATICAS</t>
  </si>
  <si>
    <t>CAPAC A DOCENT DE INGLES ES SERVICIO DEL MEP</t>
  </si>
  <si>
    <t>SIBEUNE DESARROLLO DE INDICADORES</t>
  </si>
  <si>
    <t>PROG VOLUNT VICERRECTOR VIDA ESTUDIANTIL</t>
  </si>
  <si>
    <t>MEDALLAS CONMEMORATIVAS 75 ANIVERSA UCR</t>
  </si>
  <si>
    <t>Más: Compromisos totales de presupuesto al 30-06-2017</t>
  </si>
  <si>
    <t>DEL 01 ENERO AL 30 DE JUNIO DE 2017</t>
  </si>
  <si>
    <t>Monto</t>
  </si>
  <si>
    <t>Prog. Posg. Financiamiento Complementario</t>
  </si>
  <si>
    <t xml:space="preserve">     Venta de Bienes</t>
  </si>
  <si>
    <t xml:space="preserve">     Venta de Servicios</t>
  </si>
  <si>
    <t xml:space="preserve">     Derechos Administrativos</t>
  </si>
  <si>
    <t>Transferencias Ctes. del Sector Publico:</t>
  </si>
  <si>
    <t xml:space="preserve">    Transferencias Ctes. del Gobierno Central</t>
  </si>
  <si>
    <t>1.4.1.2</t>
  </si>
  <si>
    <t xml:space="preserve">    Transferencias Ctes. de Órganos Desconc.</t>
  </si>
  <si>
    <t>1.4.1.5</t>
  </si>
  <si>
    <t xml:space="preserve">    Transferencias Ctes.de Instit. Desc. No Empresariales</t>
  </si>
  <si>
    <t>ESTADO DE INGRESOS Y EGRESOS</t>
  </si>
  <si>
    <t xml:space="preserve"> POR CLASE BÁSICA Y OBJETO DEL GASTO</t>
  </si>
  <si>
    <t xml:space="preserve">ESTADO DE INGRESOS Y EGRESOS </t>
  </si>
  <si>
    <t>POR CLASE BÁSICA Y PARTIDA</t>
  </si>
  <si>
    <t>Prog. Posg. Financ.Complementario</t>
  </si>
  <si>
    <t>Total General de Egresos</t>
  </si>
  <si>
    <t xml:space="preserve">Servicios </t>
  </si>
  <si>
    <t>Expresado en colones y dólares (T.C Ȼ567,09)</t>
  </si>
  <si>
    <t>Banco Popular - Valores</t>
  </si>
  <si>
    <t>BANCO</t>
  </si>
  <si>
    <t>1,3,9,1,04,00,0,0,000</t>
  </si>
  <si>
    <r>
      <t>RECURSOS DE VIGENCIAS ANTERIORES</t>
    </r>
    <r>
      <rPr>
        <b/>
        <sz val="9"/>
        <rFont val="Arial"/>
        <family val="2"/>
      </rPr>
      <t xml:space="preserve">          (1)</t>
    </r>
  </si>
  <si>
    <r>
      <t>(2)</t>
    </r>
    <r>
      <rPr>
        <sz val="10"/>
        <rFont val="Arial"/>
        <family val="2"/>
      </rPr>
      <t xml:space="preserve">  </t>
    </r>
    <r>
      <rPr>
        <sz val="9"/>
        <rFont val="Arial"/>
        <family val="2"/>
      </rPr>
      <t>El presupuesto de los superávit de compromisos y específicos, de losn Fondos Corrientes y del Vìnculo Externo al 31-12-2016, se incluyen en el Presupuesto Extraordinario No. 2-2017 que se encuentra en trámite de aprobación en la Contrarloría General de la República.</t>
    </r>
  </si>
  <si>
    <t>Presupuesto Ordinario UCR. Año 2017</t>
  </si>
  <si>
    <t>UBICACIÓN PRESUPUESTARIA</t>
  </si>
  <si>
    <t>PRESUPUESTO ORDINARIO</t>
  </si>
  <si>
    <t xml:space="preserve"> + AUMENTOS          - DISMINUCIONES</t>
  </si>
  <si>
    <t>PRESUPUESTO TOTAL</t>
  </si>
  <si>
    <t>SUPERAVIT  O  DEFICIT</t>
  </si>
  <si>
    <t>FINCA DE PRODUCCION ANIMAL</t>
  </si>
  <si>
    <t>01-98-02-08</t>
  </si>
  <si>
    <t>01-98-03-05</t>
  </si>
  <si>
    <t>ESTACION BIOLOGICA DE OSTIONAL</t>
  </si>
  <si>
    <t>02-98-02-65</t>
  </si>
  <si>
    <t>DIAGNOS PROP SOLUC NORM MEJOR PRAC INTER</t>
  </si>
  <si>
    <t>02-98-02-66</t>
  </si>
  <si>
    <t>PROP SOLUC SOB DISEÑ INSTIT SOB MEJOR PR</t>
  </si>
  <si>
    <t>02-98-02-67</t>
  </si>
  <si>
    <t>EST DEM PASAJ Y EST ENC SATIS P/ INCOFER</t>
  </si>
  <si>
    <t>02-98-02-68</t>
  </si>
  <si>
    <t>SOST SISTEM EVAL PROG SOC FINANC FODESAF</t>
  </si>
  <si>
    <t>02-98-02-69</t>
  </si>
  <si>
    <t>TALLER INNOVAC SECT AGROALIM ENFAS BIOC</t>
  </si>
  <si>
    <t>02-98-02-71</t>
  </si>
  <si>
    <t>ESTUD DEMAND PASAJ RUTA DESAMP Y CARTAGO</t>
  </si>
  <si>
    <t>02-98-02-72</t>
  </si>
  <si>
    <t>DESAR MODEL SERVIC NACION SALUD (SENASA)</t>
  </si>
  <si>
    <t>03-98</t>
  </si>
  <si>
    <t>03-98-03-26</t>
  </si>
  <si>
    <t>FORTAL PROG NUTRIC ALIMEN ESCOL ADOL MEP</t>
  </si>
  <si>
    <t>03-98-03-27</t>
  </si>
  <si>
    <t>CONST PLAN INTER ABORD OBESID INFANT M.S</t>
  </si>
  <si>
    <t>03-98-03-28</t>
  </si>
  <si>
    <t>ASESOR TECN REL ECOSIST NEGOC MIPYME"S</t>
  </si>
  <si>
    <t>03-98-03-30</t>
  </si>
  <si>
    <t>PROG EDUC CONT SERV ESPEC  DEL INIE</t>
  </si>
  <si>
    <t>03-98-03-31</t>
  </si>
  <si>
    <t>ASESOR, CAPAC Y VALIDAC MATEMA (ACAVAMA)</t>
  </si>
  <si>
    <t>03-98-03-33</t>
  </si>
  <si>
    <t>CERO TOLER HOSTIG SEX VIOL CONT MUJER DI</t>
  </si>
  <si>
    <t>03-98-03-35</t>
  </si>
  <si>
    <t>SERVICIOS ESTADISTICOS  PROCES INVESTIGA</t>
  </si>
  <si>
    <t>03-98-03-36</t>
  </si>
  <si>
    <t>CAPACIT EN LENG SEÑAS COSTARR P/CENDEISS</t>
  </si>
  <si>
    <t>07-98-01-04</t>
  </si>
  <si>
    <t>07-98-01-07</t>
  </si>
  <si>
    <t>07-98-01-11</t>
  </si>
  <si>
    <t>08-02-01-03</t>
  </si>
  <si>
    <t>FEDERACIÓN DE ESTUDIANTES,NUEVO EDIFICIO</t>
  </si>
  <si>
    <t>FINCA 2, READECUACIÓN DE HIDRANTES</t>
  </si>
  <si>
    <t>ESC. BIOLOGIA, SISTEMA FIJO CONTRA INCEN</t>
  </si>
  <si>
    <t>08-02-01-15</t>
  </si>
  <si>
    <t>SEDE OCCIDENTE, SIST FIJO CONTRA INCENDI</t>
  </si>
  <si>
    <t>08-02-01-16</t>
  </si>
  <si>
    <t>SEDE REGIONAL DE OCCIDENTE - AULAS</t>
  </si>
  <si>
    <t>08-02-01-18</t>
  </si>
  <si>
    <t>FAC.LETRAS, SIST.FIJO CONTRA INCEND.EDIF</t>
  </si>
  <si>
    <t>REC PARAISO AULAS, SERV SANIT, AREA RECR</t>
  </si>
  <si>
    <t>08-02-01-27</t>
  </si>
  <si>
    <t>CTRO INV.CIENC.E ING.DE MAT(CICIMA),EDIF</t>
  </si>
  <si>
    <t>08-02-01-28</t>
  </si>
  <si>
    <t>FAC.CIENC.ECON.READEC.ESTR PRIMERA ETAPA</t>
  </si>
  <si>
    <t>ESC.EST.GENERAL.DISEÑO READECUAC ESTRUCT</t>
  </si>
  <si>
    <t>08-02-01-47</t>
  </si>
  <si>
    <t>RECINTO DE GUÁPILES, PLANTA DE TRATAMIEN</t>
  </si>
  <si>
    <t>08-02-01-48</t>
  </si>
  <si>
    <t>FINCA 3 INSTALAC. DEPORT. PLANTA TRATAMI</t>
  </si>
  <si>
    <t>08-02-01-50</t>
  </si>
  <si>
    <t>FINCA1 Y FINCA 2, PUENTE DE COMUNICACIÓN</t>
  </si>
  <si>
    <t>08-02-01-53</t>
  </si>
  <si>
    <t>FAC.INGENIERÍA,CONEX .PLUVIAL AREA PARQ.</t>
  </si>
  <si>
    <t>08-02-01-56</t>
  </si>
  <si>
    <t>ESC.SALUD PUBL,MURO CONTENC.Y TRAB. ADIC</t>
  </si>
  <si>
    <t>08-02-01-58</t>
  </si>
  <si>
    <t>ESC. DE ENFERMERÍA, EDIF. TERCERA  ETAPA</t>
  </si>
  <si>
    <t>08-02-01-61</t>
  </si>
  <si>
    <t>REC. GUÁPILES,PAB.DE AULAS Y SERV SANIT</t>
  </si>
  <si>
    <t>08-02-01-63</t>
  </si>
  <si>
    <t>RECINTO GRECIA, BODEGA  REACTIVOS</t>
  </si>
  <si>
    <t>08-02-01-64</t>
  </si>
  <si>
    <t>RECINTO GRECIA,SALÓN MULTIUSO Y VESTIBUL</t>
  </si>
  <si>
    <t>08-02-01-66</t>
  </si>
  <si>
    <t>INST.DEPOR. MEJORA ESTAC.JUNTO A PISCINA</t>
  </si>
  <si>
    <t>08-02-01-67</t>
  </si>
  <si>
    <t>ESC.ECONOM.AGRIC.REMODEL.ESPACIO FISÍCO</t>
  </si>
  <si>
    <t>08-02-01-69</t>
  </si>
  <si>
    <t>FACULTAD FARMACIA,READECUACIÓN ELECTRICA</t>
  </si>
  <si>
    <t>08-02-01-70</t>
  </si>
  <si>
    <t>ESC.CENTROAMERICANA GEOLOGIA, MONTACARGA</t>
  </si>
  <si>
    <t>08-02-01-72</t>
  </si>
  <si>
    <t>BIBLIOT. LUIS DEMETRIO TINOCO, PARASOLES</t>
  </si>
  <si>
    <t>08-02-01-76</t>
  </si>
  <si>
    <t>SEDE PACIF.ESPARZA,PLANTA DE TRATAMI</t>
  </si>
  <si>
    <t>CICANUM-ALMACEN FUENT RADIOACT.EN DESUSO</t>
  </si>
  <si>
    <t>08-02-01-84</t>
  </si>
  <si>
    <t>INST.INVEST.EDUCACION(INIE), FILTACIONES</t>
  </si>
  <si>
    <t>08-02-01-99</t>
  </si>
  <si>
    <t>CANAL 15, ADQ.TERRENO CERRO GUARD CARTAG</t>
  </si>
  <si>
    <t>01-99-03-07</t>
  </si>
  <si>
    <t>01-99-06-02</t>
  </si>
  <si>
    <t>02-99-01-06</t>
  </si>
  <si>
    <t>02-99-01-20</t>
  </si>
  <si>
    <t>02-99-02-01</t>
  </si>
  <si>
    <t>PAP NEOTR COMPL MODUL INMUNID ADAPT DUR</t>
  </si>
  <si>
    <t>02-99-02-06</t>
  </si>
  <si>
    <t>02-99-02-62</t>
  </si>
  <si>
    <t>APROV RASTR D PIÑA P/ PRODUCC BIOENERGIA</t>
  </si>
  <si>
    <t>02-99-02-73</t>
  </si>
  <si>
    <t>02-99-02-93</t>
  </si>
  <si>
    <t>02-99-04-12</t>
  </si>
  <si>
    <t>PROCES HIDROCLIMAT CORRED SECO CENTROAME</t>
  </si>
  <si>
    <t>02-99-04-15</t>
  </si>
  <si>
    <t>ESTUD PROP TRANS ELECT BIOMAC A TRAV NAN</t>
  </si>
  <si>
    <t>02-99-04-17</t>
  </si>
  <si>
    <t>SEMINAR TALLER INTERN S/ BUFALOS DE AGUA</t>
  </si>
  <si>
    <t>02-99-04-48</t>
  </si>
  <si>
    <t>02-99-04-49</t>
  </si>
  <si>
    <t>02-99-04-51</t>
  </si>
  <si>
    <t>02-99-04-52</t>
  </si>
  <si>
    <t>ESTAB CULT BIOENERG FUEBT ENERG ALTERNA</t>
  </si>
  <si>
    <t>03-99-02-14</t>
  </si>
  <si>
    <t>ESTUD ACTUAR REG INVAL, VEJ Y MUER IVM</t>
  </si>
  <si>
    <t>03-99-02-15</t>
  </si>
  <si>
    <t>03-99-02-16</t>
  </si>
  <si>
    <t>CAPAC A DOCENT DE INGL EN SERVIC DEL MEP</t>
  </si>
  <si>
    <t>05-99-02-06</t>
  </si>
  <si>
    <t>06-99-05-03</t>
  </si>
  <si>
    <t>LEY DE PESCA NO. 8436 SEDE DEL CARIBE</t>
  </si>
  <si>
    <t>03-97-03-50</t>
  </si>
  <si>
    <t>ETAPA BASICA DE MUSICA SEDE REG LIMON</t>
  </si>
  <si>
    <t>03-97-03-96</t>
  </si>
  <si>
    <t>03-97-04-02</t>
  </si>
  <si>
    <t>03-97-04-09</t>
  </si>
  <si>
    <t>03-97-04-34</t>
  </si>
  <si>
    <t>PROGRAM DE CAPACIT EN EDUCACION CONTINUA</t>
  </si>
  <si>
    <t>03-97-04-48</t>
  </si>
  <si>
    <t>CURSOS DEL TEATRO POR DENTRO</t>
  </si>
  <si>
    <t>PROGRAM POSGRADO EN ESTUDIOS DE LA MUJER</t>
  </si>
  <si>
    <t>01-97-06-11</t>
  </si>
  <si>
    <t>MAESTRIA PROFESION EN METEOROLIA OPERATI</t>
  </si>
  <si>
    <t>01-99-95-24</t>
  </si>
  <si>
    <t>01-99-95-42</t>
  </si>
  <si>
    <t>01-99-95-43</t>
  </si>
  <si>
    <t>ESCUELA DE ADM. NEGOCIOS</t>
  </si>
  <si>
    <t>02-99-95-15</t>
  </si>
  <si>
    <t>CENTRO INVEST EN TECNOLOGIA DE ALIMENTOS</t>
  </si>
  <si>
    <t>02-99-95-18</t>
  </si>
  <si>
    <t>INSTITUTO DE INVESTIGACION EN EDUCACION</t>
  </si>
  <si>
    <t>02-99-95-20</t>
  </si>
  <si>
    <t>02-99-95-33</t>
  </si>
  <si>
    <t>CENTRO DE INVEST. EN PROTECCION CULTIVOS</t>
  </si>
  <si>
    <t>02-99-95-41</t>
  </si>
  <si>
    <t>02-99-95-42</t>
  </si>
  <si>
    <t>02-99-95-51</t>
  </si>
  <si>
    <t>PROINNVONA</t>
  </si>
  <si>
    <t>03-99-95-02</t>
  </si>
  <si>
    <t>VENTA DE SERVICIOS RADIOEMISORAS UCR</t>
  </si>
  <si>
    <t>03-99-95-04</t>
  </si>
  <si>
    <t>06-99-95-17</t>
  </si>
  <si>
    <t>07-99-95-11</t>
  </si>
  <si>
    <t>01-99-94-29</t>
  </si>
  <si>
    <t>ACTUALIZ PEDAGOGICA DOCEN ESC RURALES UN</t>
  </si>
  <si>
    <t>02-99-93-32</t>
  </si>
  <si>
    <t>SOCIALIZAC LIBRO CONOC MEDIAN LIBRO DIGI</t>
  </si>
  <si>
    <t>02-99-93-44</t>
  </si>
  <si>
    <t>SUB COMISION DE AGUA Y SANEAMIENTO</t>
  </si>
  <si>
    <t>06-99-94-25</t>
  </si>
  <si>
    <t>FORTALECIMIENTO DEL POSTGRADO UCR</t>
  </si>
  <si>
    <t>01-99-96-05</t>
  </si>
  <si>
    <t>FORTALEC ESCUELA DE TECNOLOGIAS DE SALUD</t>
  </si>
  <si>
    <t>02-99-96-01</t>
  </si>
  <si>
    <t>FORTALECIMIENTO DEL CICANUM</t>
  </si>
  <si>
    <t>08-99-96-23</t>
  </si>
  <si>
    <t>CONTINGENCIAS (GASTOS GENERAL)-PROG INV-</t>
  </si>
  <si>
    <t>No incluye los compromisos de presupuesto al 30-06-2017, los cuales ascienden a ¢22.035,8 millones.</t>
  </si>
  <si>
    <t>CUENTA GASTO</t>
  </si>
  <si>
    <t xml:space="preserve"> + AUMENTOS              - DISMINUCIONES</t>
  </si>
  <si>
    <t>TOTAL DISPONIBLE</t>
  </si>
  <si>
    <t xml:space="preserve"> 5-01-01-01</t>
  </si>
  <si>
    <t>Prueba</t>
  </si>
  <si>
    <t xml:space="preserve"> 5-02-04</t>
  </si>
  <si>
    <t>Obras Marítimas Y Fluviales</t>
  </si>
  <si>
    <t xml:space="preserve"> 5-02-04-00</t>
  </si>
  <si>
    <t>Obras Maritimas Y Fluviales</t>
  </si>
  <si>
    <t xml:space="preserve"> 5-03-99</t>
  </si>
  <si>
    <t xml:space="preserve"> 5-03-99-00</t>
  </si>
  <si>
    <t>P R O Y E C T O S   E N   P R O C E S O   D E   D I S E Ñ O</t>
  </si>
  <si>
    <t xml:space="preserve">PROGRAMA DE TRABAJO DE DISEÑO - PRESUPUESTO ORDINARIO, EXTRAORDINARIO Y VÍNCULO EXTERNO </t>
  </si>
  <si>
    <t>Proyectos con presupuesto incluido o Iniciativas Propuestas con presupuesto "por incluir".</t>
  </si>
  <si>
    <t># Proyecto OAF-OPLAU</t>
  </si>
  <si>
    <t xml:space="preserve">Año de Inclusión </t>
  </si>
  <si>
    <t>Proyecto</t>
  </si>
  <si>
    <t>Área m2</t>
  </si>
  <si>
    <t>Presupuesto asignado (Origen de los Fondos)</t>
  </si>
  <si>
    <t>Tipo de licitación. (R-93-2017)</t>
  </si>
  <si>
    <t>Observaciones</t>
  </si>
  <si>
    <t>Presupuesto ordinario</t>
  </si>
  <si>
    <t>Vínculo Externo</t>
  </si>
  <si>
    <t>Total asignado</t>
  </si>
  <si>
    <t xml:space="preserve">R-6830-2015 y R-436-2016 y R-386-2016. Según acuerdo con la Rectoría y el Arq. Kevin Cotter el proyecto se ajustará a la suma de ¢700 000 000,00. </t>
  </si>
  <si>
    <t>FEDERACIÓN DE ESTUDIANTES, NUEVO EDIFICIO</t>
  </si>
  <si>
    <t xml:space="preserve">R-7445-2016 y R-7313-2016. </t>
  </si>
  <si>
    <t>CENTRO DE INVESTIGACIÓN EN HEMATOLOGÍA Y TRASTORNOS AFINES (CIHATA), EDIFICIO</t>
  </si>
  <si>
    <t>R-436-2016 y R-386-2016. Se esperan instrucciones para del presupuesto a compra de terreno. Lo anterior, debido a que la intervención del edificio propuesto no se recomienda, principalmente, por el grado de protección patrimonial a la edificación y a los incumplimientos  de la NFPA.</t>
  </si>
  <si>
    <t xml:space="preserve">OPLAU-749-2014. El proyecto deberá desarrollarse por etapas, principalmente, por el traslado de los animales. Por lo que en primera instancia deberá construirse la planta de tratamiento y posteriormente las siguientes fases. Se conservará en el superávit del 2017 el dinero sin la estimación de la primera etapa la cual corresponde a la planta de tratamiento 15 millones de colones, esta última debido a que debe adjudicarse en el presente año. </t>
  </si>
  <si>
    <t xml:space="preserve">R-7445-2016 y R-7313-2016. Planos a setiembre. </t>
  </si>
  <si>
    <t>ESCUELA DE BIOLOGÍA, SISTEMA FIJO CONTRA INCENDIOS EDIFICIO EXISTENTE</t>
  </si>
  <si>
    <t>R-7445-2016 y R-7313-2016</t>
  </si>
  <si>
    <t>SEDE DE OCCIDENTE, SISTEMA FIJO CONTRA INCENDIOS MÓDULO DE AULAS</t>
  </si>
  <si>
    <t>R-7445-2016 y R-7313-2016. Se retira el presupuesto del proyecto mediante los oficios (R-2267-2017, R-3192-2017 y R-3724-2017)</t>
  </si>
  <si>
    <t xml:space="preserve">SEDE DE OCCIDENTE, AULAS </t>
  </si>
  <si>
    <t xml:space="preserve">R-386-2016. </t>
  </si>
  <si>
    <t>FACULTAD DE LETRAS, SISTEMA FIJO CONTRA INCENDIOS EDIFICIO EXISTENTE</t>
  </si>
  <si>
    <t xml:space="preserve">R-7445-2016 y R-7313-2016. El proyecto se contratará diseño y construcción. </t>
  </si>
  <si>
    <t>La estimación corresponde a dos etapas del proyecto. R-7445-2016 y R-7313-2016</t>
  </si>
  <si>
    <t xml:space="preserve">CENTRO DE INVESTIGACIÓN EN CIENCIA E INGENIERÍA DE MATERIALES (CICIMA), EDIFICIO ADMINISTRATIVO </t>
  </si>
  <si>
    <t>OPLAU-723-2016</t>
  </si>
  <si>
    <t>FACULTAD DE CIENCIAS ECONÓMICAS, READECUACIÓN ESTRUCTURAL, PRIMERA ETAPA</t>
  </si>
  <si>
    <t xml:space="preserve">El proyecto no se ejecutará a espera de instrucciones por parte de la Rectoría para la movilización del presupuesto. </t>
  </si>
  <si>
    <t>ESCUELA DE ESTUDIOS GENERALES, DISEÑO READECUACIÓN ESTRUCTURAL PRIMERA ETAPA</t>
  </si>
  <si>
    <t xml:space="preserve">R-7445-2016 y R-7313-2016. Se va a iniciar el contrato por servicios profesionales. </t>
  </si>
  <si>
    <t>R-386-2016. R-7445-2016 y R-7313-2016</t>
  </si>
  <si>
    <t xml:space="preserve">R-386-2016. El proyecto fue eliminado del programa de inversiones a solicitud del usuario.  </t>
  </si>
  <si>
    <t>RECINTO DE GUAPILES, PLANTA DE TRATAMIENTO</t>
  </si>
  <si>
    <t xml:space="preserve">FINCA 3, INSTALACIONES DEPORTIVAS PLANTA DE TRATAMIENTO </t>
  </si>
  <si>
    <t xml:space="preserve">Mediante oficio R-1027-2017 se transfiere el presupuesto para el desarrollo del proyecto. </t>
  </si>
  <si>
    <t>ESCUELA DE ENFERMERÍA, EDIFICIO TERCERA ETAPA Y CECISA</t>
  </si>
  <si>
    <t xml:space="preserve">R-7445-2016 y R-7313-2016. El CECISA lleva un 10% de avance. </t>
  </si>
  <si>
    <t>R-386-2016R-7445-2016 y R-7313-2016</t>
  </si>
  <si>
    <t xml:space="preserve">RECINTO DE GRECIA, BODEGA DE REACTIVOS 
</t>
  </si>
  <si>
    <t>RECINTO DE GRECIA, SALÓN MULTIUSO Y VESTÍBULO</t>
  </si>
  <si>
    <t>FINCA 3, INSTALACIONES DEPORTIVAS, MEJORA DE ESTACIONAMIENTOS JUNTO A PISCINAS</t>
  </si>
  <si>
    <t xml:space="preserve">ESCUELA DE ECONOMÍA AGRÍCOLA, REMODELACIÓN DE ESPACIO FÍSICO </t>
  </si>
  <si>
    <t xml:space="preserve">ESCUELA CENTROAMERICANA DE GEOLOGÍA, MONTACARGAS
</t>
  </si>
  <si>
    <t xml:space="preserve">R-7445-2016 y R-7313-2016. El proyecto ha sido eliminado del programa de inversiones. </t>
  </si>
  <si>
    <t xml:space="preserve">La ejecución del presupuesto depende en primera instancia de la licitación 2016LA-000017-0000900001. </t>
  </si>
  <si>
    <t>FINCA 3, SODA</t>
  </si>
  <si>
    <t xml:space="preserve">R-3013-2017. Proyecto nuevo. </t>
  </si>
  <si>
    <t xml:space="preserve">SEDE DEL PACÍFICO, ESPARZA, LABORATORIO DE REDES </t>
  </si>
  <si>
    <t>SP-D-0522-2017</t>
  </si>
  <si>
    <t>SEDE DEL PACÍFICO, ESPARZA, CALLE Y ACERA DE ACCESO AL CAMPUS</t>
  </si>
  <si>
    <t>ESCUELA DE MEDICINA, ELEVADOR PARA LA MORGUE</t>
  </si>
  <si>
    <t>OFICINA DE BIENESTAR Y SALUD , EDIFICIO, PRIMERA ETAPA</t>
  </si>
  <si>
    <t>ESCUELA DE LENGUAS MODERNAS, ANEXO Y ELEVADOR PARA FACULTAD DE LETRAS</t>
  </si>
  <si>
    <t xml:space="preserve">Se consolida el presupuesto del proyecto 936 Facultad de Letras con el del 998. Contrato de diseño y construcción. </t>
  </si>
  <si>
    <t>P.DEF.</t>
  </si>
  <si>
    <t>OFICINA JURÍDICA, REMOLACIÓN DEL ANTIGUO CCA</t>
  </si>
  <si>
    <t xml:space="preserve">El proyecto no ha sido incluido formalmente en el Programa de Inversiones, por lo que no tiene presupuesto asignado. </t>
  </si>
  <si>
    <t>m2</t>
  </si>
  <si>
    <t>P R O Y E C T O S   E N   P R O C E S O   D E   C O N T R A T A C I Ó N   Y   T R A M I T O L O G Í A</t>
  </si>
  <si>
    <t xml:space="preserve">PROGRAMA DE TRABAJO - CONTRATACIONES - PRESUPUESTO ORDINARIO, EXTRAORDINARIO Y VÍNCULO EXTERNO </t>
  </si>
  <si>
    <t>Tipo de procedimiento  R-93-2017</t>
  </si>
  <si>
    <t>Origen de los Fondos</t>
  </si>
  <si>
    <t>2016LA-000017-0000900001</t>
  </si>
  <si>
    <t>El pasado 03 de julio 2017, se concretó el presupuesto adicional requerido para adjdicar la licitación. Solicitudes: Esparza 2016-876 y 2017-1514, Caribe: 2016-1308 y 2017-1495, Atlántico: 2016-1310 y 2017-1972, Guanacaste: 2016-1311 y 2017-1974, Golfito: 2016-1313 y 2017-2029, Grecia: 2016-1314 y 2017-2037.</t>
  </si>
  <si>
    <t>Ord../Extraordinario</t>
  </si>
  <si>
    <t>La contratación se hará solamente para la planta de tratamiento. El proyecto se desarrollará por etapas, principalmente, por los animales.</t>
  </si>
  <si>
    <t>RECINTO DE GUAPILES, RESIDENCIAS ESTUDIANTILES</t>
  </si>
  <si>
    <t xml:space="preserve">2017LA-000009-0000900001 </t>
  </si>
  <si>
    <t xml:space="preserve">Solicitud 2016-1886. Revisión de ofertas. </t>
  </si>
  <si>
    <t>2017CD-000002-0000900003</t>
  </si>
  <si>
    <t xml:space="preserve">Solicitud 2016-2533, Renglón Infructuoso. Revisión de ofertas. </t>
  </si>
  <si>
    <t>ESCUELA DE QUÍMICA, ESCALERA DE EMERGENCIA</t>
  </si>
  <si>
    <t>El proyecto pretende licitarse en conjunto con el proyecto de la 941 Facultad de Ciencias Económicas Escalera de Emergencia.</t>
  </si>
  <si>
    <t>Vínculo. Externo</t>
  </si>
  <si>
    <t>El proyecto se encuentra en la OEPI. No tiene presupuesto asignado, el monto corresponde al Estimado, la contrtación depende de la asignación presupuestaria por parte del SEP, ya que en el presupuesto ordinario solo existen 15 millones para el desarrollo de la obra. En el 2014 la OEPI propuso a la Rectoría la reasignación de los fondos, no obstante, a solicitud del SEP, el proyecto mantiene el presente estado.  SUPERAVIT 2017, OEPI-1394-2017.</t>
  </si>
  <si>
    <t>SEDE DEL CARIBE, PLANTA DE TRATAMIENTO</t>
  </si>
  <si>
    <t xml:space="preserve">   2017LA-000001-0000900001</t>
  </si>
  <si>
    <t>2016-2535</t>
  </si>
  <si>
    <t>El proyecto pretende licitarse en conjunto con el proyecto de la 931 Escuela de Química, Escalera de Emergencia.</t>
  </si>
  <si>
    <t>1054 y 1942</t>
  </si>
  <si>
    <t>2016CD-000012-OEPI</t>
  </si>
  <si>
    <t>Ord../Extraordinario y Vínculo. Exerno</t>
  </si>
  <si>
    <t xml:space="preserve">Solicitud 2016-1877 y 2017-947. </t>
  </si>
  <si>
    <t>FINCA 1 Y FINCA 2, PUENTE DE COMUNICACIÓN</t>
  </si>
  <si>
    <t>Adjudicado</t>
  </si>
  <si>
    <t xml:space="preserve">La OSUM en conjunto con esta Oficina Ejecutora realiza las gestiones para rescindir el contrato. </t>
  </si>
  <si>
    <t>FACULTAD DE INGENIERÍA, CONEXIÓN PLUVIAL ÁREA DE PARQUEO</t>
  </si>
  <si>
    <t>ESCUELA DE SALUD PÚBLICA, MURO DE CONTENCIÓN Y TRABAJOS ADICIONALES</t>
  </si>
  <si>
    <t>RECINTO DE GUAPILES, PABELLÓN DE AULAS Y SERVICIOS SANITARIOS</t>
  </si>
  <si>
    <t>2017LA-000009-0000900001</t>
  </si>
  <si>
    <t xml:space="preserve">2017-1598. Revisión de ofertas. </t>
  </si>
  <si>
    <t>FACULTAD DE FARMACIA, READECUACIÓN ELÉCTRICA</t>
  </si>
  <si>
    <t>BIBLIOTECA LUIS DEMETRIO TINOCO, PARASOLES</t>
  </si>
  <si>
    <t>2017LA-000011-0000900001</t>
  </si>
  <si>
    <t>2017-1599</t>
  </si>
  <si>
    <t>FACULTAD DE CIENCIAS SOCIALES, MODIFICACIONES EN LA ACOMETIDA ELÉCTRICA</t>
  </si>
  <si>
    <t>2017-1780</t>
  </si>
  <si>
    <t>FACULTAD DE MEDICINA, PINTURA EXTERIOR DE EDIFICIO</t>
  </si>
  <si>
    <t>2017-1500</t>
  </si>
  <si>
    <t>FINCA SIETE MANANTIALES, AMOJONAMIENTO</t>
  </si>
  <si>
    <t>2017CD-000001-0000900003</t>
  </si>
  <si>
    <t>2017-1322</t>
  </si>
  <si>
    <t>SEDE DEL PACÍFICO, ESPARZA PLANTA DE TRATAMIENTO</t>
  </si>
  <si>
    <t>2016-3711, 2017-947, 2017-1781</t>
  </si>
  <si>
    <t>CICANUM, ALMACÉN DE FUENTES RADIOACTIVAS EN DESUSO</t>
  </si>
  <si>
    <t xml:space="preserve">El proyecto estaba listo para adjudicar, no obstante, se cancela a solicitud del CICANUM, por tanto, la Rectoría mediante oficio R-1027-2017 solicita se rebaje una parte del presupuesto para atender otras necesidades. </t>
  </si>
  <si>
    <t>INSTITUTO DE INVESTIGACIONES FARMACÉUTICAS (INIFAR), EDIFICIO</t>
  </si>
  <si>
    <t>2017LN-000001-0000900001</t>
  </si>
  <si>
    <t xml:space="preserve">2017-1071. Revisión de ofertas. </t>
  </si>
  <si>
    <t>9408</t>
  </si>
  <si>
    <t xml:space="preserve">Se reciben ofertas el 26 de julio del 2017. </t>
  </si>
  <si>
    <t>9418</t>
  </si>
  <si>
    <t xml:space="preserve">Queda en firme el 18 de julio 2017. </t>
  </si>
  <si>
    <t xml:space="preserve">En apelación en la Contraloría General de la República. </t>
  </si>
  <si>
    <t xml:space="preserve">P R O Y E C T O S   E N   P R O C E S O   D E   E J E C U C I Ó N  D E   C O N S T R U C C I Ó N   Y/O   S E R V I C I O S   P R O F E S I O N A L E S  </t>
  </si>
  <si>
    <t xml:space="preserve">PROGRAMA DE TRABAJO, EJECUCIÓN DE SERVICIOS PROFESIONALES Y/O CONSTRUCCIÓN </t>
  </si>
  <si>
    <t>Unidad Ejecutora (Ordinario)</t>
  </si>
  <si>
    <t>Unid. Ejec: adicionales (Vínculo Externo)</t>
  </si>
  <si>
    <r>
      <t>CONTRATACIÓN DE SERVICIOS PROFESIONALES PARA EL DISEÑO DE PLANTAS DE TRATAMIENTO DE GUÁPILES</t>
    </r>
    <r>
      <rPr>
        <sz val="9"/>
        <color rgb="FFFF0000"/>
        <rFont val="Arial"/>
        <family val="2"/>
      </rPr>
      <t xml:space="preserve"> </t>
    </r>
  </si>
  <si>
    <t>2016CD-000009-OEPI</t>
  </si>
  <si>
    <t>El contrato está en dólares $735.000 al tipo de cambio: 580 colones.</t>
  </si>
  <si>
    <t>2016LA-000018-0000900001</t>
  </si>
  <si>
    <t>2016CD-000013-OEPI</t>
  </si>
  <si>
    <t xml:space="preserve">FINCA 1, HIDRANTES </t>
  </si>
  <si>
    <t>2016CD-000014-OEPI</t>
  </si>
  <si>
    <t>La empresa contratista adjudicada GAIA quebró, por lo que el proyecto se encuentra detenido hasta que se efectúe la nueva adjudicación. No se tramitan las facturas: 1793, 1794.</t>
  </si>
  <si>
    <t>INSTITUTO DE INVESTIGACIONES EN SALUD (INISA), REPARACIONES EN LABORATORIOS</t>
  </si>
  <si>
    <t>INSTITUTO DE INVESTIGACIONES EN EDUCACIÓN (INIE), FILTRACIONES</t>
  </si>
  <si>
    <t>CENTRO INFANTIL Y CASA INFANTIL UNIVERSITARIA</t>
  </si>
  <si>
    <t xml:space="preserve">Presupuesto consolidado </t>
  </si>
  <si>
    <t>9402</t>
  </si>
  <si>
    <t>EDU_UCR-44-LPN-O</t>
  </si>
  <si>
    <t xml:space="preserve">La empresa GAIA Constructora quebró, por lo que el proyecto se encuentra detenido hasta que se efectúe la nueva adjudicación.  Se estima reinicie el próximo 17 de julio 2017. </t>
  </si>
  <si>
    <t>EDU_UCR-145-LPN-O</t>
  </si>
  <si>
    <t>El proyecto fue abandonado por la empresa Chang Díaz y Asociados, se reanuda en el mes de junio con el proceso de Licitación No. EDU_UCR-145-LPN-O con la empresa Torres e Ingenieros S.A.</t>
  </si>
  <si>
    <t>EDU_UCR-47-LPN-O</t>
  </si>
  <si>
    <t xml:space="preserve">La empresa GAIA Constructora quebró, por lo que el proyecto se adjudicó a la empresa SICSA. El proyecto reinicia el 17 de julio de 2017. </t>
  </si>
  <si>
    <t>9406</t>
  </si>
  <si>
    <t>EDU-UCR-48-LPN-O</t>
  </si>
  <si>
    <t>EDU-UCR-49-LPN-O</t>
  </si>
  <si>
    <t>9410</t>
  </si>
  <si>
    <t>EDU-UCR-52-LPN-O</t>
  </si>
  <si>
    <t>9412</t>
  </si>
  <si>
    <t>9413</t>
  </si>
  <si>
    <t>EDU_UCR-54-LPN-O</t>
  </si>
  <si>
    <t>EDU_UCR-55-LPN-O</t>
  </si>
  <si>
    <t>EDU_UCR-57-LPN-O</t>
  </si>
  <si>
    <t>EDU_UCR-60-LPN-O</t>
  </si>
  <si>
    <t>9422</t>
  </si>
  <si>
    <t xml:space="preserve">EDU_UCR-143-LPN-O </t>
  </si>
  <si>
    <t>EDU_UCR-144-LPN-O</t>
  </si>
  <si>
    <t xml:space="preserve">PROGRAMA DE TRABAJO - CONSTRUCCIONES FIDEICOMISO </t>
  </si>
  <si>
    <t>Fideicomiso UCR 02-2016</t>
  </si>
  <si>
    <t>Fideicomiso UCR 06-2016</t>
  </si>
  <si>
    <t>Fideicomiso UCR 04-2016</t>
  </si>
  <si>
    <t>P R O Y E C T O S   P E N D I E N T E S   D E   L I Q U I D A R</t>
  </si>
  <si>
    <t>Unid. Ejec: adicionales Vínculo Ext.</t>
  </si>
  <si>
    <t>Año de Inclusión</t>
  </si>
  <si>
    <t xml:space="preserve">Presupuesto Reservado </t>
  </si>
  <si>
    <t>Porcentaje  ejecución según  presupuesto consolidado</t>
  </si>
  <si>
    <t xml:space="preserve">Con Acta de Recepción. Falta Finiquito. </t>
  </si>
  <si>
    <t>2016CD-000007-OEPI</t>
  </si>
  <si>
    <t>2015LA-000042-000090001</t>
  </si>
  <si>
    <t>2016CD-000005-OEPI</t>
  </si>
  <si>
    <t xml:space="preserve">Presupuesto por la re-adjudicación del proyecto.  Falta Acta de Recepción y Finiquito. </t>
  </si>
  <si>
    <t>7311</t>
  </si>
  <si>
    <t xml:space="preserve">ESTADIO ECOLÓGICO, PISTA SINTÉTICA </t>
  </si>
  <si>
    <t>2015LA-000103-0000900001</t>
  </si>
  <si>
    <t>973 -810</t>
  </si>
  <si>
    <t>7311, 1462</t>
  </si>
  <si>
    <t>973 -768</t>
  </si>
  <si>
    <t>EDUCACIÓN CONTINUA, REMODELACIÓN PARA EL CIL</t>
  </si>
  <si>
    <t>2016CD-000008-OEPI</t>
  </si>
  <si>
    <t>973 - 871</t>
  </si>
  <si>
    <t xml:space="preserve">El proyecto consiste en la instalación de un elevador, por tanto, el área no aplica. Con finiquito. </t>
  </si>
  <si>
    <t xml:space="preserve">FACULTAD DE CIENCIAS ECONÓMICAS, SERVICIOS SANITARIOS </t>
  </si>
  <si>
    <t>2016CD-000006-OEPI</t>
  </si>
  <si>
    <t>2016CD-000011-OEPI</t>
  </si>
  <si>
    <t>PROYECTOS FINALIZADOS - BANCO MUNDIAL PENDIENTES DE LIQUIDAR</t>
  </si>
  <si>
    <t>9401</t>
  </si>
  <si>
    <t>EDU_UCR-43-LPN-O</t>
  </si>
  <si>
    <t>EDU-UCR-132-LPN-O</t>
  </si>
  <si>
    <t>El estado "PENDIENTE DE LIQUIDAR" es un procedimiento previo a la liquidación de los fondos, la suma que se indica MONTO PENDIENTE POR LIQUIDAR; es afectado, ya que en el proceso se verifica y se elaboran los documentos que formalizan por completo la finalización de la obra, se cancelan reajustes de precios y se confecciona el  ACTA DE RECEPCIÓN y el FINIQUITO.</t>
  </si>
  <si>
    <t>P R O Y E C T O S   D E   I N F R A E S T R U C T U R A   T E R M I N A D O S</t>
  </si>
  <si>
    <t>PROYECTOS TERMINADOS 2016</t>
  </si>
  <si>
    <t xml:space="preserve">Con Finiquito </t>
  </si>
  <si>
    <t xml:space="preserve">PROYECTOS FINALIZADOS -BANCO MUNDIAL </t>
  </si>
  <si>
    <t>EDU-UCR-56-LPN-O-2014</t>
  </si>
  <si>
    <t xml:space="preserve">FINCA 2, PLANTA DE TRATAMIENTO </t>
  </si>
  <si>
    <t>EDU-UCR-133-LPN-O</t>
  </si>
  <si>
    <t>9403</t>
  </si>
  <si>
    <t>EDU UCR-45-LPN-O</t>
  </si>
  <si>
    <t>2014LA-000070-000090001</t>
  </si>
  <si>
    <t>SITUACION FINANCIERA</t>
  </si>
  <si>
    <t>SITUACION PRESUPUESTARIA</t>
  </si>
  <si>
    <t>2483</t>
  </si>
  <si>
    <t>2496</t>
  </si>
  <si>
    <t>CURSOS DE TEATRO POR DENTRO</t>
  </si>
  <si>
    <t>MAESTRIA PROFESIONAL DE METEOROLOGIA OPERATIVA</t>
  </si>
  <si>
    <t>Saldo al 30-06-2017</t>
  </si>
  <si>
    <t>013-002</t>
  </si>
  <si>
    <t>Anticipos sueldos-planilla mensual</t>
  </si>
  <si>
    <t>013-014</t>
  </si>
  <si>
    <t xml:space="preserve">Ministerio de Hacienda cobros por retención </t>
  </si>
  <si>
    <t>013-023</t>
  </si>
  <si>
    <t>013-030</t>
  </si>
  <si>
    <t>Deducibles por cobrar a estudiantes</t>
  </si>
  <si>
    <t>013-033</t>
  </si>
  <si>
    <t>013-046</t>
  </si>
  <si>
    <t>Arreglo pago extrajudicial</t>
  </si>
  <si>
    <t>013-065</t>
  </si>
  <si>
    <t>Programa posgrado financiamiento complementario</t>
  </si>
  <si>
    <t>013-067</t>
  </si>
  <si>
    <t>Arreglo de pago beneficios complementario sin pagaré</t>
  </si>
  <si>
    <t>013-068</t>
  </si>
  <si>
    <t>Arreglo pago girados de mas a estudiantes sin pagaré</t>
  </si>
  <si>
    <t>013-069</t>
  </si>
  <si>
    <t>Arreglo pago matrícula estudiantes posgrado</t>
  </si>
  <si>
    <t>Financiamiento Transitorio Vínculo Externo (a)</t>
  </si>
  <si>
    <t>Matrícula al cobro (b)</t>
  </si>
  <si>
    <t>(a) En los anteriores años la cuenta se mostraba en un cuadro aparte, dada la razón misma de ser de la cuenta; a partir del año 2011 se incluye dentro del cuadro de cédula de antiguedad de saldos. Por otra parte, a partir de enero 2012, con el propósito de cumplir con lo señalado por la Contraloría Universitaria, se cambió el nombre de la cuenta de "Sobregiro de Vínculo Externo" a "Financiamiento Transitorio Vínculo Externo".</t>
  </si>
  <si>
    <t>¢</t>
  </si>
  <si>
    <t>VENTA DE MATERIA Y OBRAS, DISEÑO GRÁFICO</t>
  </si>
  <si>
    <t>AGROFER COMERC ELECTR DE BIENES AGRÍCOLA</t>
  </si>
  <si>
    <t>ESCUELA DE ARTES PLÁSTICAS - VENTA DE SERVICIOS</t>
  </si>
  <si>
    <t>PRUEBA HABILIDAD ESC. ARTES PLASTICAS</t>
  </si>
  <si>
    <t>ESCUELA DE GEOLOGÍA - SERVICIOS</t>
  </si>
  <si>
    <t>ESCUELA DE QUIMICA-SERVICIOS</t>
  </si>
  <si>
    <t>ESTACIÓN BIOLÓGICA DE OSTIONAL</t>
  </si>
  <si>
    <t>CENTRO DE APOYO ACADÉMICO</t>
  </si>
  <si>
    <t>PUBLICACIÓN DE CUADERNOS - ESC. DE ANTR</t>
  </si>
  <si>
    <t>CUADERNOS DE SOCIOLOGIA_ ESC SOCIOLOGIA</t>
  </si>
  <si>
    <t>FACULTAD DE MICROBIOLOGÍA - SERVICIOS</t>
  </si>
  <si>
    <t>FACULTAD DE ODONTOLOGÍA - SERVICIOS</t>
  </si>
  <si>
    <t>PRUEBAS LABORATORIO CLINICO (FAC.MICROBIOLOGIA)</t>
  </si>
  <si>
    <t>LABORATORIO FISIOLÓGICO</t>
  </si>
  <si>
    <t>SERVICIOS ESCUELA DE NUTRICIÓN</t>
  </si>
  <si>
    <t>MATERIAL DIDÁCTICO HISTOL.Y ANATÓMICO-ESC. MEDICINA</t>
  </si>
  <si>
    <t>SERVICIOS LABORATORIO CONTROL CALIDAD - FAC.MICROBIOLOGÍA</t>
  </si>
  <si>
    <t>ESCUELA DE INGENIERA ELECTRICA</t>
  </si>
  <si>
    <t>EXTENSIÓN SERVICIOS LABORATORIO ODONTOLÓGICO</t>
  </si>
  <si>
    <t>LABORATORIO ANÁLISIS Y ASESORIA FARMACÉUTICA</t>
  </si>
  <si>
    <t>ADMINISTRACIÓN E.E.F.B.M.</t>
  </si>
  <si>
    <t>PLANIFICACIÓN HATO BOVINO E.E.A.V.M.</t>
  </si>
  <si>
    <t>ACTUALIZACIÓN ACADÉMICA PRODU. E.E.A.V.M</t>
  </si>
  <si>
    <t>LABORATORIO DE ENSAYOS BIOLÓGICOS</t>
  </si>
  <si>
    <t>FINCA EXPERIMENTAL DE SANTA ANA</t>
  </si>
  <si>
    <t>PROGRAMA AVÍCOLA E.E.F.B.M.</t>
  </si>
  <si>
    <t>EDITORIAL FACULTAD DE DERECHO</t>
  </si>
  <si>
    <t>MICROSCOPÍA ELECTRÓNICA - SERVICIOS</t>
  </si>
  <si>
    <t>SOPORTE PROGRAMA INVESTIGACIÓN</t>
  </si>
  <si>
    <t>LIBRERÍA UNIVERSITARIA</t>
  </si>
  <si>
    <t>REVISTA INTERSEDES</t>
  </si>
  <si>
    <t>DESARROLLO E INVER DE LA ESCUELA INGENIERÍA AGRÍCOLA</t>
  </si>
  <si>
    <t>SERVICIOS C.E.L.E.Q</t>
  </si>
  <si>
    <t>INSTITUTO DE INVESTIGACIÓN EN INGENIERÍA</t>
  </si>
  <si>
    <t>VENTA PUBLICACACIONES CIICLA</t>
  </si>
  <si>
    <t>INSTITUTO DE INVESTIGACIONES SOCIALES</t>
  </si>
  <si>
    <t>SERVICIOS C.I.P.R.O.N.A</t>
  </si>
  <si>
    <t>SERVICIOS C.I.C.A</t>
  </si>
  <si>
    <t>SERVICIOS C.I.T.A</t>
  </si>
  <si>
    <t>CENTRO DE INVESTIGACIONES AGRONOMICAS - C.I.A.</t>
  </si>
  <si>
    <t>SERVICIOS DEL C.I.N.A.</t>
  </si>
  <si>
    <t>VENTA DE SUERO -INSTITUTO CLODOMIRO PICADO</t>
  </si>
  <si>
    <t>SERVICIOS DEL C.I.H.A.T.A</t>
  </si>
  <si>
    <t>PRESTACION DE SERVICIOS DEL CIMAR.</t>
  </si>
  <si>
    <t>CONVENIO U.C.R. - JAPDEVA - CITA</t>
  </si>
  <si>
    <t>VENTA DE MATERIAL DIDACTICO IIP</t>
  </si>
  <si>
    <t>ASESORIA C.C.S.S. SOBRE PENSIONES</t>
  </si>
  <si>
    <t>APOYO A LA INVESTIG Y ANALISIS REPETITIVO</t>
  </si>
  <si>
    <t>ACTUALIZACIÓN PLAN REGUL INTROD INDIC FRAG AMBI</t>
  </si>
  <si>
    <t>VENTA DE SERVICIOS AL SECTOR EXTERNO</t>
  </si>
  <si>
    <t>DESAR MODEL SERVIC NACION SALU (SENASA)</t>
  </si>
  <si>
    <t>PROM DIVUL PUBLIC ACADEM INST ESTAT PUBL</t>
  </si>
  <si>
    <t>VENTA DE PUBLICIDAD -SEMANARIO UNIVERSIDAD</t>
  </si>
  <si>
    <t>MODULO PRE-NIVEL C.I.L</t>
  </si>
  <si>
    <t>SERV.LABORATORIO CLINICO AL PROG. SALUD</t>
  </si>
  <si>
    <t>SERV. ESTADIST. ESPEC. EN EL PROC DE INV</t>
  </si>
  <si>
    <t>ASESORÍA EN ARQUIT, DISEÑ, URBAN Y CONSTRU</t>
  </si>
  <si>
    <t>ASESORÍA TÉCNICA Y COSULTORÍA DEL CICAP</t>
  </si>
  <si>
    <t>CONST PLAN INTER ABORD OBESID INFANT M.S.</t>
  </si>
  <si>
    <t>FORJADORES</t>
  </si>
  <si>
    <t>PROG EDUC CONT SERV ESPEC DEL INIE</t>
  </si>
  <si>
    <t>CERO TOLER HOSTIG SEX VIOL CONT MUJE DI</t>
  </si>
  <si>
    <t>SERVICIOS ESTADISICOS PROSC INVESIGA</t>
  </si>
  <si>
    <t>CAPACIT EN LENG SEÑAS COSTARRI P/CENDIEIS</t>
  </si>
  <si>
    <t>FICHAS PROFESIOGRAFICAS U.V.E</t>
  </si>
  <si>
    <t>PROGRAMAS ODONTOLÓGICOS SAN RAMÓN</t>
  </si>
  <si>
    <t>RESIDENCIAS ESTUDIANTILES SEDE REG. OCCIDENTE</t>
  </si>
  <si>
    <t>DESARROLLO DE INFRAESTRUCTURA SEDE GUANA</t>
  </si>
  <si>
    <t>RESIDENCIAS ESTUDIANTILES SEDE REG. GUANACASTE</t>
  </si>
  <si>
    <t>APROVECHAMIENTO DE DESECHOS SEDE REG. ATLÁNTICO</t>
  </si>
  <si>
    <t>USO INSTALACIONES Y PAGO DE MULTAS - SRA</t>
  </si>
  <si>
    <t>RESIDENCIAS ESTUDIANTILES SEDE REG. ATLANTICO</t>
  </si>
  <si>
    <t>USO DE PICINAS SEDE REG. ATLÁNTICO</t>
  </si>
  <si>
    <t>ALQUILER CANCHA FUTBOL Y GIMNASIO SEDE ATLÁNTICO</t>
  </si>
  <si>
    <t>RESIDENCIAS ESTUDIANTILES REC. GUAPILES</t>
  </si>
  <si>
    <t>FINCA EXPERIM INTERDISC AGROECOLÓGICO MODELO</t>
  </si>
  <si>
    <t>RESIDENCIAS INTERCAMBIO SEDE ATLÁNTICO</t>
  </si>
  <si>
    <t>ALQUILER SODA Y RECIDENC. ESTUD. - SEDE REG. LIMÓN</t>
  </si>
  <si>
    <t>ALQUILER DE INSTALACIONES DEP. SEDE REG. LIMÓN</t>
  </si>
  <si>
    <t>CLINICA ODONTOLOGICA SEDE REGIONAL DE LIMÓN</t>
  </si>
  <si>
    <t>SERV CONSULT ASESOR ACOMP PROC INSTI EMP</t>
  </si>
  <si>
    <t>SERVICIOS DE MUELLE SEDE REG. PACÍFICO</t>
  </si>
  <si>
    <t>RESIDENCIAS ESTUDIANTILES SEDE REGIONAL PACÍFICO</t>
  </si>
  <si>
    <t>EMPRESAS AUXILIARES GLOBAL DE INVESTIGACION</t>
  </si>
  <si>
    <t>EMPRESAS AUXILIARES GLOBAL SEDES REGIONALES</t>
  </si>
  <si>
    <t xml:space="preserve">TOTAL DEL PRESUPUESTO POR DISTRIBUIR </t>
  </si>
  <si>
    <t xml:space="preserve">TOTALES </t>
  </si>
  <si>
    <t>RESUMEN DE LA SITUACIÓN PRESUPUESTARIA 
INGRESOS POR SECCIÓN
Al 30 de junio de 2017
Expresado en colones</t>
  </si>
  <si>
    <t>RESUMEN DE LA SITUACIÓN PRESUPUESTARIA
EGRESOS POR SECCIÓN
Al 30 de junio de 2017
Expresado en colones</t>
  </si>
  <si>
    <t>CÉDULA DE ANTIGÜEDAD DE SALDOS DE</t>
  </si>
  <si>
    <t>VÍNCULO EXTERNO: FONDOS RESTRINGIDOS</t>
  </si>
  <si>
    <t>VÍNCULO EXTERNO: EMPRESAS AUXILIARES</t>
  </si>
  <si>
    <t>VÍNCULO EXTERNO: CURSOS ESPECIALES</t>
  </si>
  <si>
    <t>VÍNCULO EXTERNO: PROGRAMAS DE POSGRADO CON</t>
  </si>
  <si>
    <t>Licda. Marlen Salas Guerrero, MBA, CPA</t>
  </si>
  <si>
    <t>Licda. Isabel C. Pereira Piedra, M.GP, CPA</t>
  </si>
  <si>
    <t>Jefe, Oficina de Administración Financiera</t>
  </si>
  <si>
    <t>Transferencias Ctas del Sector Público:</t>
  </si>
  <si>
    <t xml:space="preserve">        Inst. Descentralizadas No Empresariales</t>
  </si>
  <si>
    <t xml:space="preserve">        Transferencias Ctes del Gobierno Central</t>
  </si>
  <si>
    <t xml:space="preserve">         Venta de Servicios</t>
  </si>
  <si>
    <t xml:space="preserve">         Venta de Bienes</t>
  </si>
  <si>
    <t xml:space="preserve">         Derechos Administrativos</t>
  </si>
  <si>
    <t>% EJECUCIÓN
REAL + COMPR.</t>
  </si>
  <si>
    <t>Propiedad, planta y equipo, Neto</t>
  </si>
  <si>
    <t>Instalaciones, Neto</t>
  </si>
  <si>
    <t>Edificios, Neto</t>
  </si>
  <si>
    <t>Programas de Cómputo, Neto</t>
  </si>
  <si>
    <t>SECCIÓN I</t>
  </si>
  <si>
    <t>SECCIÓN III</t>
  </si>
  <si>
    <t>SECCIÓN VII</t>
  </si>
  <si>
    <t>TOTAL SECCIÓN VII</t>
  </si>
  <si>
    <t>SECCIÓN VIII</t>
  </si>
  <si>
    <t>TOTAL SECCIÓN VIII</t>
  </si>
  <si>
    <t>SECCIÓN IX</t>
  </si>
  <si>
    <t>TOTAL SECCIÓN IX</t>
  </si>
  <si>
    <t>TOTAL SECCIÓN X</t>
  </si>
  <si>
    <r>
      <rPr>
        <b/>
        <sz val="10"/>
        <rFont val="Arial"/>
        <family val="2"/>
      </rPr>
      <t>(1)</t>
    </r>
    <r>
      <rPr>
        <sz val="10"/>
        <rFont val="Arial"/>
        <family val="2"/>
      </rPr>
      <t xml:space="preserve">  El presupuesto del superávit de compromisos al 31-12-2016, se incluye en el Presupuesto Extraordinario No. 2-2017 que se encuentra en trámite de aprobación en la Contraloría General de la República.</t>
    </r>
  </si>
  <si>
    <r>
      <rPr>
        <b/>
        <sz val="10"/>
        <rFont val="Arial"/>
        <family val="2"/>
      </rPr>
      <t>(2)</t>
    </r>
    <r>
      <rPr>
        <sz val="10"/>
        <rFont val="Arial"/>
        <family val="2"/>
      </rPr>
      <t xml:space="preserve">  El presupuesto de los superávit de compromisos y específico de los proyectos del Vìnculo Externo al 31-12-2016, se incluyen en el Presupuesto Extraordinario No. 2-2017 que se encuentra en trámite de aprobación en la Contraloría General de la República.</t>
    </r>
  </si>
  <si>
    <t>Total Cuentas por Cobrar</t>
  </si>
  <si>
    <t>Interés acumulado por cobrar</t>
  </si>
  <si>
    <t>Arreglo de pago matrícula estudiantes sin pagaré</t>
  </si>
  <si>
    <t>Deducibles por cobrar choféres</t>
  </si>
  <si>
    <t>PRESUPUESTO POR DISTRIBUIR F.I. (SECCIÓN 8)</t>
  </si>
  <si>
    <t>FONDOS DEL SISTEMA CONARE (SECCIÓN 9)</t>
  </si>
  <si>
    <t>PLAN DE MEJORAMIENTO INSTITUCIONAL (SECCIÓN 10)</t>
  </si>
  <si>
    <t>SECCIÓN DE CONSTRUCCIONES Y MANTENIMIENT</t>
  </si>
  <si>
    <t>SECCIÓN DE CORREOS</t>
  </si>
  <si>
    <t>SECCIÓN DE TRANSPORTES</t>
  </si>
  <si>
    <t>SECCIÓN DE SEGURIDAD Y TRANSITO</t>
  </si>
  <si>
    <t>SECCIÓN DE SERVICIOS CONTRATADOS</t>
  </si>
  <si>
    <t>SECCIÓN MANTENIMIENTO DE MAQ.Y EQUIPO</t>
  </si>
  <si>
    <t xml:space="preserve">% Avance de diseño </t>
  </si>
  <si>
    <t>Peso relativo</t>
  </si>
  <si>
    <t>En el anexo N° 12 se detalla la partida por Cuenta y Clase de Ingreso.</t>
  </si>
  <si>
    <t>En el anexo N° 13 se detallan los Egresos por Sección y Objeto de Gasto</t>
  </si>
  <si>
    <t>Diferencia ingresos sobre egresos del período anterior</t>
  </si>
  <si>
    <t>(b) A partir del mes de mayo 2017, se reclasifica la cuenta por cobrar de matrícula - cobro administrativo a cuentas por cobrar de matrícula - cobro judicial, esto considerando que se remiten a tribunales deudas de estudiantes pendientes de períodos anteriores para la gestión correspondiente, según y como consta en el oficio OAF-1538-2017.</t>
  </si>
  <si>
    <t>(1) Los Ingresos de "Recursos de Vigencias de períodos Anteriores" se presentan desglosados según lo solicitado en oficio No.11427, punto 1.a) de fecha 11 de septiembre de 1997.</t>
  </si>
  <si>
    <t>Servicios Pago períodos Anteriores</t>
  </si>
  <si>
    <t>Materiales Y Suminist. Pago períodos Ant</t>
  </si>
  <si>
    <t>Inversiones Corrientes</t>
  </si>
  <si>
    <t>Inversiones no Corrientes</t>
  </si>
  <si>
    <t>Cuenta por Pagar Corrientes</t>
  </si>
  <si>
    <t>Pasivo Corriente</t>
  </si>
  <si>
    <t>Total Pasivo Corriente</t>
  </si>
  <si>
    <t>Total Pasivo</t>
  </si>
  <si>
    <t>Total Activo Corriente</t>
  </si>
  <si>
    <t>Otros Activos</t>
  </si>
  <si>
    <t>Total Otros Activos</t>
  </si>
  <si>
    <t>Total Activo</t>
  </si>
  <si>
    <t>% Recau.</t>
  </si>
  <si>
    <t>Distribución de las Inversiones</t>
  </si>
  <si>
    <t>En dólares por Intermediario</t>
  </si>
  <si>
    <t>En colones por Intermediario</t>
  </si>
  <si>
    <t>(a) El Banco Crédito Agrícola administra los recursos hasta tanto los transfiere a otra institución bancaria del Estado, para que asuma la operación</t>
  </si>
  <si>
    <t>Jefe, Unidad de Contabilidad</t>
  </si>
  <si>
    <t>Deudas: Préstamos y Fideicomisos</t>
  </si>
  <si>
    <t>Contador Privado Nº. 24264</t>
  </si>
  <si>
    <t>DISPONIBLE DE CAJA AL 30-06-2017</t>
  </si>
  <si>
    <t xml:space="preserve">Contadora Pública Nº. 2077 </t>
  </si>
  <si>
    <t>Lic. Jorge Astúa Quirós, MBA</t>
  </si>
  <si>
    <t>Contadora Privada Nº. 30250</t>
  </si>
  <si>
    <t>Cuenta por Pagar Corriente</t>
  </si>
  <si>
    <t>Documentos por Pagar Corriente</t>
  </si>
  <si>
    <t>Documentos por Pagar No Corriente</t>
  </si>
  <si>
    <t>Pasivo No Corriente</t>
  </si>
  <si>
    <t>Total Pasivo No Corriente</t>
  </si>
  <si>
    <t>Total Activo No Corriente</t>
  </si>
  <si>
    <t>Activo No Corriente</t>
  </si>
  <si>
    <t>Propiedad, Planta y Equipo</t>
  </si>
  <si>
    <t>Equipo de Laboratorio</t>
  </si>
  <si>
    <t>Inversiones No Corrientes</t>
  </si>
  <si>
    <t>Valuación de Estimación para Incobrables de Cuentas por Cobrar</t>
  </si>
  <si>
    <t>Valuación de Estimación para Incobrables de Préstamos</t>
  </si>
  <si>
    <t>Valuación de Estimación por Obsolescencia de Inventarios</t>
  </si>
  <si>
    <t>Ganancia (Pérdida) No Realizada Inversiones Transitorias</t>
  </si>
  <si>
    <t>(1): No se incluyen los compromisos de presupuesto debido a que su efecto es presupuestario y no financiero, por tanto no constituyen un gasto real al 30 de junio de 2017.</t>
  </si>
  <si>
    <r>
      <rPr>
        <b/>
        <sz val="11"/>
        <rFont val="Arial"/>
        <family val="2"/>
      </rPr>
      <t>Nota:</t>
    </r>
    <r>
      <rPr>
        <sz val="11"/>
        <rFont val="Arial"/>
        <family val="2"/>
      </rPr>
      <t xml:space="preserve"> </t>
    </r>
  </si>
  <si>
    <t>DIFERENCIA INGRESOS SOBRE EGRESOS AL 30 DE JUNIO</t>
  </si>
  <si>
    <t xml:space="preserve">                             Avalado por:</t>
  </si>
  <si>
    <t xml:space="preserve">        Hecho por:                                                      Revisado por:</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</si>
</sst>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4" formatCode="_(&quot;₡&quot;* #,##0.00_);_(&quot;₡&quot;* \(#,##0.00\);_(&quot;₡&quot;* &quot;-&quot;??_);_(@_)"/>
    <numFmt numFmtId="43" formatCode="_(* #,##0.00_);_(* \(#,##0.00\);_(* &quot;-&quot;??_);_(@_)"/>
    <numFmt numFmtId="164" formatCode="_-* #,##0.00_-;\-* #,##0.00_-;_-* &quot;-&quot;??_-;_-@_-"/>
    <numFmt numFmtId="165" formatCode="&quot;¢&quot;#,##0.00_);\(&quot;¢&quot;#,##0.00\)"/>
    <numFmt numFmtId="166" formatCode="_-&quot;¢&quot;* #,##0_-;\-&quot;¢&quot;* #,##0_-;_-&quot;¢&quot;* &quot;-&quot;_-;_-@_-"/>
    <numFmt numFmtId="167" formatCode="_-&quot;¢&quot;* #,##0.00_-;\-&quot;¢&quot;* #,##0.00_-;_-&quot;¢&quot;* &quot;-&quot;??_-;_-@_-"/>
    <numFmt numFmtId="168" formatCode="#,##0.0"/>
    <numFmt numFmtId="169" formatCode="[$$-409]#,##0.00"/>
    <numFmt numFmtId="170" formatCode="&quot;₡&quot;#,##0.00"/>
    <numFmt numFmtId="171" formatCode="[$$-540A]#,##0.00"/>
    <numFmt numFmtId="172" formatCode="#,##0.00&quot; &quot;;#,##0.00&quot; &quot;;&quot;-&quot;#&quot; &quot;;@&quot; &quot;"/>
    <numFmt numFmtId="173" formatCode="#,##0.00&quot; &quot;;&quot;(&quot;#,##0.00&quot;)&quot;;&quot;-&quot;#&quot; &quot;;@&quot; &quot;"/>
    <numFmt numFmtId="174" formatCode="&quot; ₡&quot;0\ ;&quot; ₡(&quot;0\);&quot; ₡- &quot;;@\ "/>
    <numFmt numFmtId="175" formatCode="* #,##0.00\ ;* \(#,##0.00\);* \-#\ ;@\ "/>
    <numFmt numFmtId="176" formatCode="\¢#,##0.00\ ;&quot;(¢&quot;#,##0.00\)"/>
    <numFmt numFmtId="177" formatCode="* #,##0.00\ ;\-* #,##0.00\ ;* \-#\ ;@\ "/>
    <numFmt numFmtId="178" formatCode="#,##0.00\ ;#,##0.00\ ;\-#\ ;@\ "/>
    <numFmt numFmtId="179" formatCode="#,##0.00\ ;\(#,##0.00\);\-#\ ;@\ "/>
    <numFmt numFmtId="180" formatCode="#,##0.00&quot; &quot;;&quot;-&quot;#,##0.00&quot; &quot;;&quot;-&quot;#&quot; &quot;;@&quot; &quot;"/>
    <numFmt numFmtId="181" formatCode="&quot; ¢&quot;#,##0.00&quot; &quot;;&quot;-¢&quot;#,##0.00&quot; &quot;;&quot; ¢-&quot;#&quot; &quot;;@&quot; &quot;"/>
    <numFmt numFmtId="182" formatCode="&quot; ¢&quot;* #,##0.00\ ;&quot;-¢&quot;* #,##0.00\ ;&quot; ¢&quot;* \-#\ ;@\ "/>
    <numFmt numFmtId="183" formatCode="0.00\ %"/>
  </numFmts>
  <fonts count="132" x14ac:knownFonts="1">
    <font>
      <sz val="10"/>
      <name val="Arial"/>
    </font>
    <font>
      <sz val="11"/>
      <color theme="1"/>
      <name val="Calibri"/>
      <family val="2"/>
      <scheme val="minor"/>
    </font>
    <font>
      <sz val="11"/>
      <color theme="1"/>
      <name val="Calibri"/>
      <family val="2"/>
      <scheme val="minor"/>
    </font>
    <font>
      <b/>
      <sz val="10"/>
      <name val="Arial"/>
      <family val="2"/>
    </font>
    <font>
      <sz val="10"/>
      <name val="Arial"/>
      <family val="2"/>
    </font>
    <font>
      <sz val="10"/>
      <name val="MS Sans Serif"/>
      <family val="2"/>
    </font>
    <font>
      <sz val="10"/>
      <name val="Arial"/>
      <family val="2"/>
    </font>
    <font>
      <sz val="8"/>
      <name val="Arial"/>
      <family val="2"/>
    </font>
    <font>
      <b/>
      <sz val="9"/>
      <name val="Arial"/>
      <family val="2"/>
    </font>
    <font>
      <sz val="11"/>
      <name val="Arial"/>
      <family val="2"/>
    </font>
    <font>
      <sz val="9"/>
      <name val="Arial"/>
      <family val="2"/>
    </font>
    <font>
      <b/>
      <sz val="8"/>
      <name val="Arial"/>
      <family val="2"/>
    </font>
    <font>
      <u/>
      <sz val="2.5"/>
      <color indexed="12"/>
      <name val="Arial"/>
      <family val="2"/>
    </font>
    <font>
      <b/>
      <sz val="10"/>
      <color indexed="14"/>
      <name val="Arial"/>
      <family val="2"/>
    </font>
    <font>
      <u/>
      <sz val="10"/>
      <name val="Arial"/>
      <family val="2"/>
    </font>
    <font>
      <sz val="12"/>
      <name val="Arial"/>
      <family val="2"/>
    </font>
    <font>
      <b/>
      <u val="double"/>
      <sz val="10"/>
      <name val="Arial"/>
      <family val="2"/>
    </font>
    <font>
      <b/>
      <sz val="11"/>
      <name val="Arial"/>
      <family val="2"/>
    </font>
    <font>
      <b/>
      <u/>
      <sz val="11"/>
      <name val="Arial"/>
      <family val="2"/>
    </font>
    <font>
      <b/>
      <sz val="10"/>
      <color indexed="10"/>
      <name val="Arial"/>
      <family val="2"/>
    </font>
    <font>
      <sz val="8"/>
      <name val="Arial"/>
      <family val="2"/>
    </font>
    <font>
      <sz val="11"/>
      <color indexed="8"/>
      <name val="Calibri"/>
      <family val="2"/>
    </font>
    <font>
      <sz val="11"/>
      <color indexed="9"/>
      <name val="Calibri"/>
      <family val="2"/>
    </font>
    <font>
      <sz val="11"/>
      <color indexed="17"/>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b/>
      <sz val="11"/>
      <color indexed="63"/>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8"/>
      <name val="Calibri"/>
      <family val="2"/>
    </font>
    <font>
      <b/>
      <sz val="12"/>
      <name val="Arial"/>
      <family val="2"/>
    </font>
    <font>
      <b/>
      <u val="double"/>
      <sz val="11"/>
      <name val="Arial"/>
      <family val="2"/>
    </font>
    <font>
      <b/>
      <i/>
      <sz val="11"/>
      <name val="Arial"/>
      <family val="2"/>
    </font>
    <font>
      <b/>
      <sz val="11"/>
      <color theme="1"/>
      <name val="Calibri"/>
      <family val="2"/>
      <scheme val="minor"/>
    </font>
    <font>
      <u/>
      <sz val="10"/>
      <color theme="11"/>
      <name val="Arial"/>
      <family val="2"/>
    </font>
    <font>
      <b/>
      <i/>
      <sz val="8"/>
      <name val="Arial"/>
      <family val="2"/>
    </font>
    <font>
      <sz val="8"/>
      <color theme="1"/>
      <name val="Arial"/>
      <family val="2"/>
    </font>
    <font>
      <sz val="11"/>
      <color theme="1"/>
      <name val="Liberation Sans"/>
      <family val="2"/>
    </font>
    <font>
      <sz val="10"/>
      <name val="MS Sans Serif"/>
      <family val="2"/>
      <charset val="1"/>
    </font>
    <font>
      <b/>
      <sz val="11"/>
      <color indexed="8"/>
      <name val="Calibri"/>
      <family val="2"/>
      <charset val="1"/>
    </font>
    <font>
      <b/>
      <sz val="11"/>
      <color theme="1"/>
      <name val="Calibri"/>
      <family val="2"/>
    </font>
    <font>
      <b/>
      <sz val="11"/>
      <name val="Calibri"/>
      <family val="2"/>
      <scheme val="minor"/>
    </font>
    <font>
      <sz val="11"/>
      <name val="Calibri"/>
      <family val="2"/>
      <scheme val="minor"/>
    </font>
    <font>
      <i/>
      <sz val="9"/>
      <name val="Arial"/>
      <family val="2"/>
    </font>
    <font>
      <b/>
      <u/>
      <sz val="9"/>
      <name val="Arial"/>
      <family val="2"/>
    </font>
    <font>
      <u/>
      <sz val="9"/>
      <name val="Arial"/>
      <family val="2"/>
    </font>
    <font>
      <sz val="9"/>
      <color theme="1"/>
      <name val="Arial"/>
      <family val="2"/>
    </font>
    <font>
      <sz val="8"/>
      <color indexed="8"/>
      <name val="Arial"/>
      <family val="2"/>
    </font>
    <font>
      <b/>
      <sz val="10"/>
      <color indexed="8"/>
      <name val="Arial"/>
      <family val="2"/>
    </font>
    <font>
      <sz val="10"/>
      <color indexed="8"/>
      <name val="Arial"/>
      <family val="2"/>
    </font>
    <font>
      <b/>
      <i/>
      <sz val="10"/>
      <color indexed="8"/>
      <name val="Arial"/>
      <family val="2"/>
    </font>
    <font>
      <i/>
      <sz val="10"/>
      <color indexed="8"/>
      <name val="Arial"/>
      <family val="2"/>
    </font>
    <font>
      <sz val="11"/>
      <color theme="0"/>
      <name val="Calibri"/>
      <family val="2"/>
      <charset val="1"/>
    </font>
    <font>
      <sz val="10"/>
      <color indexed="57"/>
      <name val="Arial"/>
      <family val="2"/>
      <charset val="1"/>
    </font>
    <font>
      <sz val="10"/>
      <color indexed="10"/>
      <name val="Arial"/>
      <family val="2"/>
      <charset val="1"/>
    </font>
    <font>
      <b/>
      <sz val="9"/>
      <color indexed="81"/>
      <name val="Tahoma"/>
      <family val="2"/>
    </font>
    <font>
      <sz val="9"/>
      <color indexed="81"/>
      <name val="Tahoma"/>
      <family val="2"/>
    </font>
    <font>
      <sz val="11"/>
      <color indexed="8"/>
      <name val="Arial"/>
      <family val="2"/>
    </font>
    <font>
      <b/>
      <sz val="11"/>
      <color indexed="8"/>
      <name val="Arial"/>
      <family val="2"/>
    </font>
    <font>
      <b/>
      <i/>
      <sz val="11"/>
      <color indexed="8"/>
      <name val="Arial"/>
      <family val="2"/>
    </font>
    <font>
      <b/>
      <u/>
      <sz val="10"/>
      <color indexed="10"/>
      <name val="Arial"/>
      <family val="2"/>
    </font>
    <font>
      <i/>
      <sz val="11"/>
      <color indexed="8"/>
      <name val="Arial"/>
      <family val="2"/>
    </font>
    <font>
      <b/>
      <i/>
      <sz val="10"/>
      <name val="Arial"/>
      <family val="2"/>
    </font>
    <font>
      <b/>
      <i/>
      <sz val="10"/>
      <color indexed="10"/>
      <name val="Arial"/>
      <family val="2"/>
    </font>
    <font>
      <i/>
      <sz val="10"/>
      <color indexed="10"/>
      <name val="Arial"/>
      <family val="2"/>
    </font>
    <font>
      <sz val="10"/>
      <color indexed="10"/>
      <name val="Arial"/>
      <family val="2"/>
    </font>
    <font>
      <b/>
      <u/>
      <sz val="10"/>
      <name val="Arial"/>
      <family val="2"/>
    </font>
    <font>
      <sz val="10"/>
      <color rgb="FFFF0000"/>
      <name val="Arial"/>
      <family val="2"/>
      <charset val="1"/>
    </font>
    <font>
      <b/>
      <sz val="11"/>
      <color theme="1"/>
      <name val="Arial"/>
      <family val="2"/>
    </font>
    <font>
      <sz val="11"/>
      <color theme="1"/>
      <name val="Arial"/>
      <family val="2"/>
    </font>
    <font>
      <b/>
      <sz val="10"/>
      <color theme="1"/>
      <name val="Arial"/>
      <family val="2"/>
    </font>
    <font>
      <sz val="10"/>
      <color theme="1"/>
      <name val="Arial"/>
      <family val="2"/>
    </font>
    <font>
      <b/>
      <sz val="9"/>
      <color theme="0"/>
      <name val="Arial"/>
      <family val="2"/>
    </font>
    <font>
      <b/>
      <sz val="9"/>
      <color theme="1"/>
      <name val="Arial"/>
      <family val="2"/>
    </font>
    <font>
      <sz val="9"/>
      <color rgb="FFFF0000"/>
      <name val="Arial"/>
      <family val="2"/>
    </font>
    <font>
      <sz val="9"/>
      <name val="Arial"/>
      <family val="2"/>
      <charset val="1"/>
    </font>
    <font>
      <sz val="9"/>
      <color indexed="8"/>
      <name val="Arial"/>
      <family val="2"/>
      <charset val="1"/>
    </font>
    <font>
      <b/>
      <u/>
      <sz val="11"/>
      <color indexed="8"/>
      <name val="Arial"/>
      <family val="2"/>
    </font>
    <font>
      <u/>
      <sz val="10"/>
      <color indexed="8"/>
      <name val="Arial"/>
      <family val="2"/>
    </font>
    <font>
      <b/>
      <u val="double"/>
      <sz val="10"/>
      <color indexed="8"/>
      <name val="Arial"/>
      <family val="2"/>
    </font>
    <font>
      <b/>
      <sz val="11"/>
      <color rgb="FF000000"/>
      <name val="Arial"/>
      <family val="2"/>
      <charset val="1"/>
    </font>
    <font>
      <sz val="11"/>
      <name val="Arial"/>
      <family val="2"/>
      <charset val="1"/>
    </font>
    <font>
      <b/>
      <sz val="10.5"/>
      <name val="Arial"/>
      <family val="2"/>
    </font>
    <font>
      <sz val="10.5"/>
      <name val="Arial"/>
      <family val="2"/>
    </font>
    <font>
      <sz val="11"/>
      <name val="Calibri"/>
      <family val="2"/>
    </font>
    <font>
      <sz val="10"/>
      <color indexed="8"/>
      <name val="Calibri"/>
      <family val="2"/>
    </font>
    <font>
      <sz val="10"/>
      <color rgb="FF000000"/>
      <name val="Arial"/>
      <family val="2"/>
    </font>
    <font>
      <b/>
      <sz val="8"/>
      <color indexed="8"/>
      <name val="Arial"/>
      <family val="2"/>
    </font>
    <font>
      <b/>
      <sz val="11"/>
      <color rgb="FF000000"/>
      <name val="Arial"/>
      <family val="2"/>
    </font>
    <font>
      <sz val="11"/>
      <color rgb="FF000000"/>
      <name val="Arial"/>
      <family val="2"/>
    </font>
    <font>
      <u/>
      <sz val="11"/>
      <color rgb="FF000000"/>
      <name val="Arial"/>
      <family val="2"/>
    </font>
    <font>
      <sz val="11"/>
      <name val="MS Sans Serif"/>
      <family val="2"/>
    </font>
    <font>
      <b/>
      <sz val="10"/>
      <color rgb="FF000000"/>
      <name val="Arial"/>
      <family val="2"/>
    </font>
    <font>
      <sz val="10.5"/>
      <color theme="1"/>
      <name val="Arial"/>
      <family val="2"/>
    </font>
    <font>
      <b/>
      <sz val="10.5"/>
      <color theme="1"/>
      <name val="Arial"/>
      <family val="2"/>
    </font>
    <font>
      <sz val="10"/>
      <color rgb="FF000000"/>
      <name val="Calibri"/>
      <family val="2"/>
    </font>
    <font>
      <b/>
      <sz val="9"/>
      <color indexed="8"/>
      <name val="Arial"/>
      <family val="2"/>
    </font>
    <font>
      <sz val="9"/>
      <color indexed="8"/>
      <name val="Calibri"/>
      <family val="2"/>
    </font>
    <font>
      <b/>
      <sz val="9"/>
      <color indexed="8"/>
      <name val="Calibri"/>
      <family val="2"/>
    </font>
    <font>
      <sz val="12"/>
      <color rgb="FFFF0000"/>
      <name val="Arial"/>
      <family val="2"/>
    </font>
    <font>
      <sz val="12"/>
      <name val="Calibri"/>
      <family val="2"/>
      <charset val="1"/>
    </font>
    <font>
      <b/>
      <sz val="11"/>
      <color theme="0"/>
      <name val="Calibri"/>
      <family val="2"/>
    </font>
    <font>
      <sz val="10"/>
      <name val="Arial"/>
      <family val="2"/>
    </font>
    <font>
      <b/>
      <sz val="8"/>
      <color indexed="81"/>
      <name val="Tahoma"/>
      <family val="2"/>
    </font>
    <font>
      <sz val="9"/>
      <color theme="1" tint="0.249977111117893"/>
      <name val="Arial"/>
      <family val="2"/>
    </font>
    <font>
      <b/>
      <sz val="9"/>
      <color theme="1" tint="0.249977111117893"/>
      <name val="Arial"/>
      <family val="2"/>
    </font>
    <font>
      <b/>
      <sz val="16"/>
      <name val="Arial"/>
      <family val="2"/>
    </font>
    <font>
      <b/>
      <u/>
      <sz val="12"/>
      <name val="Arial"/>
      <family val="2"/>
    </font>
    <font>
      <u/>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u/>
      <sz val="10"/>
      <color indexed="8"/>
      <name val="Arial"/>
      <family val="2"/>
    </font>
  </fonts>
  <fills count="6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22"/>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indexed="9"/>
        <bgColor indexed="26"/>
      </patternFill>
    </fill>
    <fill>
      <patternFill patternType="solid">
        <fgColor indexed="22"/>
        <bgColor indexed="31"/>
      </patternFill>
    </fill>
    <fill>
      <patternFill patternType="solid">
        <fgColor theme="8" tint="-0.249977111117893"/>
        <bgColor indexed="64"/>
      </patternFill>
    </fill>
    <fill>
      <patternFill patternType="solid">
        <fgColor theme="4" tint="0.79998168889431442"/>
        <bgColor indexed="64"/>
      </patternFill>
    </fill>
    <fill>
      <patternFill patternType="solid">
        <fgColor rgb="FFFFFF00"/>
        <bgColor indexed="64"/>
      </patternFill>
    </fill>
    <fill>
      <patternFill patternType="solid">
        <fgColor rgb="FFDDDDDD"/>
        <bgColor rgb="FFCCFFCC"/>
      </patternFill>
    </fill>
    <fill>
      <patternFill patternType="solid">
        <fgColor rgb="FFF4F7FA"/>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auto="1"/>
      </bottom>
      <diagonal/>
    </border>
    <border>
      <left/>
      <right/>
      <top/>
      <bottom style="thin">
        <color auto="1"/>
      </bottom>
      <diagonal/>
    </border>
    <border>
      <left/>
      <right/>
      <top style="thin">
        <color auto="1"/>
      </top>
      <bottom style="thin">
        <color auto="1"/>
      </bottom>
      <diagonal/>
    </border>
    <border>
      <left/>
      <right/>
      <top style="thin">
        <color auto="1"/>
      </top>
      <bottom style="double">
        <color auto="1"/>
      </bottom>
      <diagonal/>
    </border>
    <border>
      <left/>
      <right/>
      <top style="thin">
        <color auto="1"/>
      </top>
      <bottom style="medium">
        <color auto="1"/>
      </bottom>
      <diagonal/>
    </border>
    <border>
      <left/>
      <right/>
      <top/>
      <bottom style="medium">
        <color indexed="8"/>
      </bottom>
      <diagonal/>
    </border>
    <border>
      <left/>
      <right/>
      <top/>
      <bottom style="thin">
        <color indexed="8"/>
      </bottom>
      <diagonal/>
    </border>
    <border>
      <left/>
      <right/>
      <top/>
      <bottom style="double">
        <color indexed="8"/>
      </bottom>
      <diagonal/>
    </border>
    <border>
      <left/>
      <right/>
      <top/>
      <bottom style="thin">
        <color auto="1"/>
      </bottom>
      <diagonal/>
    </border>
    <border>
      <left style="medium">
        <color indexed="8"/>
      </left>
      <right style="medium">
        <color indexed="8"/>
      </right>
      <top/>
      <bottom style="medium">
        <color indexed="8"/>
      </bottom>
      <diagonal/>
    </border>
    <border>
      <left/>
      <right/>
      <top style="thin">
        <color auto="1"/>
      </top>
      <bottom style="thin">
        <color auto="1"/>
      </bottom>
      <diagonal/>
    </border>
    <border>
      <left/>
      <right style="medium">
        <color auto="1"/>
      </right>
      <top/>
      <bottom/>
      <diagonal/>
    </border>
    <border>
      <left/>
      <right/>
      <top style="thin">
        <color auto="1"/>
      </top>
      <bottom style="medium">
        <color auto="1"/>
      </bottom>
      <diagonal/>
    </border>
    <border>
      <left/>
      <right/>
      <top style="medium">
        <color indexed="8"/>
      </top>
      <bottom/>
      <diagonal/>
    </border>
    <border>
      <left/>
      <right/>
      <top style="thin">
        <color indexed="8"/>
      </top>
      <bottom style="thin">
        <color indexed="8"/>
      </bottom>
      <diagonal/>
    </border>
    <border>
      <left/>
      <right/>
      <top style="thin">
        <color auto="1"/>
      </top>
      <bottom style="double">
        <color auto="1"/>
      </bottom>
      <diagonal/>
    </border>
    <border>
      <left/>
      <right/>
      <top/>
      <bottom style="thin">
        <color auto="1"/>
      </bottom>
      <diagonal/>
    </border>
    <border>
      <left style="hair">
        <color auto="1"/>
      </left>
      <right style="hair">
        <color auto="1"/>
      </right>
      <top/>
      <bottom/>
      <diagonal/>
    </border>
    <border>
      <left/>
      <right/>
      <top/>
      <bottom style="double">
        <color auto="1"/>
      </bottom>
      <diagonal/>
    </border>
    <border>
      <left/>
      <right/>
      <top style="double">
        <color auto="1"/>
      </top>
      <bottom style="thin">
        <color auto="1"/>
      </bottom>
      <diagonal/>
    </border>
    <border>
      <left/>
      <right style="hair">
        <color auto="1"/>
      </right>
      <top style="thin">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bottom style="thin">
        <color auto="1"/>
      </bottom>
      <diagonal/>
    </border>
    <border>
      <left/>
      <right style="medium">
        <color indexed="8"/>
      </right>
      <top/>
      <bottom style="medium">
        <color indexed="8"/>
      </bottom>
      <diagonal/>
    </border>
    <border>
      <left style="hair">
        <color auto="1"/>
      </left>
      <right/>
      <top/>
      <bottom/>
      <diagonal/>
    </border>
    <border>
      <left/>
      <right/>
      <top/>
      <bottom style="medium">
        <color auto="1"/>
      </bottom>
      <diagonal/>
    </border>
    <border>
      <left/>
      <right style="hair">
        <color auto="1"/>
      </right>
      <top/>
      <bottom/>
      <diagonal/>
    </border>
    <border>
      <left/>
      <right/>
      <top/>
      <bottom style="thin">
        <color auto="1"/>
      </bottom>
      <diagonal/>
    </border>
    <border>
      <left/>
      <right/>
      <top/>
      <bottom style="thin">
        <color rgb="FF000000"/>
      </bottom>
      <diagonal/>
    </border>
    <border>
      <left/>
      <right/>
      <top/>
      <bottom style="double">
        <color auto="1"/>
      </bottom>
      <diagonal/>
    </border>
    <border>
      <left/>
      <right/>
      <top/>
      <bottom style="double">
        <color rgb="FF000000"/>
      </bottom>
      <diagonal/>
    </border>
    <border>
      <left style="medium">
        <color auto="1"/>
      </left>
      <right style="medium">
        <color indexed="8"/>
      </right>
      <top style="medium">
        <color auto="1"/>
      </top>
      <bottom/>
      <diagonal/>
    </border>
    <border>
      <left style="medium">
        <color indexed="8"/>
      </left>
      <right style="medium">
        <color indexed="8"/>
      </right>
      <top style="medium">
        <color auto="1"/>
      </top>
      <bottom/>
      <diagonal/>
    </border>
    <border>
      <left style="medium">
        <color indexed="8"/>
      </left>
      <right style="medium">
        <color auto="1"/>
      </right>
      <top style="medium">
        <color auto="1"/>
      </top>
      <bottom/>
      <diagonal/>
    </border>
    <border>
      <left style="medium">
        <color auto="1"/>
      </left>
      <right style="medium">
        <color indexed="8"/>
      </right>
      <top/>
      <bottom style="medium">
        <color indexed="8"/>
      </bottom>
      <diagonal/>
    </border>
    <border>
      <left style="medium">
        <color indexed="8"/>
      </left>
      <right style="medium">
        <color auto="1"/>
      </right>
      <top/>
      <bottom style="medium">
        <color indexed="8"/>
      </bottom>
      <diagonal/>
    </border>
    <border>
      <left style="medium">
        <color auto="1"/>
      </left>
      <right/>
      <top/>
      <bottom/>
      <diagonal/>
    </border>
    <border>
      <left/>
      <right style="medium">
        <color auto="1"/>
      </right>
      <top/>
      <bottom style="thin">
        <color auto="1"/>
      </bottom>
      <diagonal/>
    </border>
    <border>
      <left style="medium">
        <color auto="1"/>
      </left>
      <right/>
      <top/>
      <bottom style="thin">
        <color auto="1"/>
      </bottom>
      <diagonal/>
    </border>
    <border>
      <left/>
      <right/>
      <top/>
      <bottom style="medium">
        <color indexed="64"/>
      </bottom>
      <diagonal/>
    </border>
    <border>
      <left/>
      <right/>
      <top style="thin">
        <color rgb="FF000000"/>
      </top>
      <bottom/>
      <diagonal/>
    </border>
    <border>
      <left/>
      <right/>
      <top/>
      <bottom style="medium">
        <color indexed="8"/>
      </bottom>
      <diagonal/>
    </border>
    <border>
      <left/>
      <right/>
      <top style="medium">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auto="1"/>
      </top>
      <bottom style="hair">
        <color auto="1"/>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21">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4" borderId="0" applyNumberFormat="0" applyBorder="0" applyAlignment="0" applyProtection="0"/>
    <xf numFmtId="0" fontId="21" fillId="6" borderId="0" applyNumberFormat="0" applyBorder="0" applyAlignment="0" applyProtection="0"/>
    <xf numFmtId="0" fontId="21" fillId="3"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1" fillId="4"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3" fillId="6" borderId="0" applyNumberFormat="0" applyBorder="0" applyAlignment="0" applyProtection="0"/>
    <xf numFmtId="0" fontId="24" fillId="11" borderId="1" applyNumberFormat="0" applyAlignment="0" applyProtection="0"/>
    <xf numFmtId="0" fontId="25" fillId="12" borderId="2" applyNumberFormat="0" applyAlignment="0" applyProtection="0"/>
    <xf numFmtId="0" fontId="26" fillId="0" borderId="3" applyNumberFormat="0" applyFill="0" applyAlignment="0" applyProtection="0"/>
    <xf numFmtId="0" fontId="27" fillId="0" borderId="0" applyNumberFormat="0" applyFill="0" applyBorder="0" applyAlignment="0" applyProtection="0"/>
    <xf numFmtId="0" fontId="22" fillId="13"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8" fillId="7" borderId="1" applyNumberFormat="0" applyAlignment="0" applyProtection="0"/>
    <xf numFmtId="0" fontId="12" fillId="0" borderId="0" applyNumberFormat="0" applyFill="0" applyBorder="0" applyAlignment="0" applyProtection="0">
      <alignment vertical="top"/>
      <protection locked="0"/>
    </xf>
    <xf numFmtId="0" fontId="29" fillId="17" borderId="0" applyNumberFormat="0" applyBorder="0" applyAlignment="0" applyProtection="0"/>
    <xf numFmtId="164" fontId="4" fillId="0" borderId="0" applyFont="0" applyFill="0" applyBorder="0" applyAlignment="0" applyProtection="0"/>
    <xf numFmtId="167" fontId="4" fillId="0" borderId="0" applyFont="0" applyFill="0" applyBorder="0" applyAlignment="0" applyProtection="0"/>
    <xf numFmtId="44" fontId="4" fillId="0" borderId="0" applyFont="0" applyFill="0" applyBorder="0" applyAlignment="0" applyProtection="0"/>
    <xf numFmtId="0" fontId="30" fillId="7" borderId="0" applyNumberFormat="0" applyBorder="0" applyAlignment="0" applyProtection="0"/>
    <xf numFmtId="0" fontId="5" fillId="0" borderId="0"/>
    <xf numFmtId="0" fontId="5" fillId="0" borderId="0"/>
    <xf numFmtId="0" fontId="5" fillId="0" borderId="0"/>
    <xf numFmtId="0" fontId="5" fillId="0" borderId="0"/>
    <xf numFmtId="0" fontId="6" fillId="4" borderId="4" applyNumberFormat="0" applyFont="0" applyAlignment="0" applyProtection="0"/>
    <xf numFmtId="9" fontId="4" fillId="0" borderId="0" applyFont="0" applyFill="0" applyBorder="0" applyAlignment="0" applyProtection="0"/>
    <xf numFmtId="0" fontId="31" fillId="11" borderId="5" applyNumberFormat="0" applyAlignment="0" applyProtection="0"/>
    <xf numFmtId="0" fontId="26"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6" applyNumberFormat="0" applyFill="0" applyAlignment="0" applyProtection="0"/>
    <xf numFmtId="0" fontId="35" fillId="0" borderId="7" applyNumberFormat="0" applyFill="0" applyAlignment="0" applyProtection="0"/>
    <xf numFmtId="0" fontId="27" fillId="0" borderId="8" applyNumberFormat="0" applyFill="0" applyAlignment="0" applyProtection="0"/>
    <xf numFmtId="0" fontId="36" fillId="0" borderId="9" applyNumberFormat="0" applyFill="0" applyAlignment="0" applyProtection="0"/>
    <xf numFmtId="0" fontId="4" fillId="0" borderId="0"/>
    <xf numFmtId="0" fontId="2" fillId="0" borderId="0"/>
    <xf numFmtId="166" fontId="4" fillId="0" borderId="0" applyFont="0" applyFill="0" applyBorder="0" applyAlignment="0" applyProtection="0"/>
    <xf numFmtId="167"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72" fontId="44" fillId="0" borderId="0"/>
    <xf numFmtId="172" fontId="44" fillId="0" borderId="0"/>
    <xf numFmtId="174" fontId="21" fillId="0" borderId="0" applyBorder="0" applyProtection="0"/>
    <xf numFmtId="0" fontId="45" fillId="0" borderId="0"/>
    <xf numFmtId="9" fontId="4" fillId="0" borderId="0" applyFont="0" applyFill="0" applyBorder="0" applyAlignment="0" applyProtection="0"/>
    <xf numFmtId="0" fontId="21"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21" fillId="0" borderId="0" applyBorder="0" applyProtection="0"/>
    <xf numFmtId="0" fontId="21" fillId="0" borderId="0" applyBorder="0" applyProtection="0"/>
    <xf numFmtId="0" fontId="41" fillId="0" borderId="0" applyNumberFormat="0" applyFill="0" applyBorder="0" applyAlignment="0" applyProtection="0"/>
    <xf numFmtId="0" fontId="4" fillId="0" borderId="0"/>
    <xf numFmtId="180" fontId="93" fillId="0" borderId="0" applyBorder="0" applyProtection="0"/>
    <xf numFmtId="181" fontId="93" fillId="0" borderId="0" applyBorder="0" applyProtection="0"/>
    <xf numFmtId="177" fontId="4" fillId="0" borderId="0" applyFill="0" applyBorder="0" applyProtection="0"/>
    <xf numFmtId="182" fontId="4" fillId="0" borderId="0" applyFill="0" applyBorder="0" applyProtection="0"/>
    <xf numFmtId="0" fontId="4" fillId="0" borderId="0"/>
    <xf numFmtId="0" fontId="1" fillId="0" borderId="0"/>
    <xf numFmtId="43" fontId="1" fillId="0" borderId="0" applyFont="0" applyFill="0" applyBorder="0" applyAlignment="0" applyProtection="0"/>
    <xf numFmtId="0" fontId="116" fillId="0" borderId="0" applyNumberFormat="0" applyFill="0" applyBorder="0" applyAlignment="0" applyProtection="0"/>
    <xf numFmtId="0" fontId="117" fillId="0" borderId="65" applyNumberFormat="0" applyFill="0" applyAlignment="0" applyProtection="0"/>
    <xf numFmtId="0" fontId="118" fillId="0" borderId="66" applyNumberFormat="0" applyFill="0" applyAlignment="0" applyProtection="0"/>
    <xf numFmtId="0" fontId="119" fillId="0" borderId="67" applyNumberFormat="0" applyFill="0" applyAlignment="0" applyProtection="0"/>
    <xf numFmtId="0" fontId="119" fillId="0" borderId="0" applyNumberFormat="0" applyFill="0" applyBorder="0" applyAlignment="0" applyProtection="0"/>
    <xf numFmtId="0" fontId="120" fillId="33" borderId="0" applyNumberFormat="0" applyBorder="0" applyAlignment="0" applyProtection="0"/>
    <xf numFmtId="0" fontId="121" fillId="34" borderId="0" applyNumberFormat="0" applyBorder="0" applyAlignment="0" applyProtection="0"/>
    <xf numFmtId="0" fontId="122" fillId="35" borderId="0" applyNumberFormat="0" applyBorder="0" applyAlignment="0" applyProtection="0"/>
    <xf numFmtId="0" fontId="123" fillId="36" borderId="68" applyNumberFormat="0" applyAlignment="0" applyProtection="0"/>
    <xf numFmtId="0" fontId="124" fillId="37" borderId="69" applyNumberFormat="0" applyAlignment="0" applyProtection="0"/>
    <xf numFmtId="0" fontId="125" fillId="37" borderId="68" applyNumberFormat="0" applyAlignment="0" applyProtection="0"/>
    <xf numFmtId="0" fontId="126" fillId="0" borderId="70" applyNumberFormat="0" applyFill="0" applyAlignment="0" applyProtection="0"/>
    <xf numFmtId="0" fontId="127" fillId="38" borderId="71" applyNumberFormat="0" applyAlignment="0" applyProtection="0"/>
    <xf numFmtId="0" fontId="128" fillId="0" borderId="0" applyNumberFormat="0" applyFill="0" applyBorder="0" applyAlignment="0" applyProtection="0"/>
    <xf numFmtId="0" fontId="1" fillId="39" borderId="72" applyNumberFormat="0" applyFont="0" applyAlignment="0" applyProtection="0"/>
    <xf numFmtId="0" fontId="129" fillId="0" borderId="0" applyNumberFormat="0" applyFill="0" applyBorder="0" applyAlignment="0" applyProtection="0"/>
    <xf numFmtId="0" fontId="40" fillId="0" borderId="73" applyNumberFormat="0" applyFill="0" applyAlignment="0" applyProtection="0"/>
    <xf numFmtId="0" fontId="130"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30" fillId="43" borderId="0" applyNumberFormat="0" applyBorder="0" applyAlignment="0" applyProtection="0"/>
    <xf numFmtId="0" fontId="130"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30" fillId="47" borderId="0" applyNumberFormat="0" applyBorder="0" applyAlignment="0" applyProtection="0"/>
    <xf numFmtId="0" fontId="130"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30" fillId="51" borderId="0" applyNumberFormat="0" applyBorder="0" applyAlignment="0" applyProtection="0"/>
    <xf numFmtId="0" fontId="130"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30" fillId="55" borderId="0" applyNumberFormat="0" applyBorder="0" applyAlignment="0" applyProtection="0"/>
    <xf numFmtId="0" fontId="130"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30" fillId="59" borderId="0" applyNumberFormat="0" applyBorder="0" applyAlignment="0" applyProtection="0"/>
    <xf numFmtId="0" fontId="130"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30" fillId="63" borderId="0" applyNumberFormat="0" applyBorder="0" applyAlignment="0" applyProtection="0"/>
  </cellStyleXfs>
  <cellXfs count="1140">
    <xf numFmtId="0" fontId="0" fillId="0" borderId="0" xfId="0"/>
    <xf numFmtId="0" fontId="0" fillId="0" borderId="0" xfId="0" applyAlignment="1">
      <alignment horizontal="center"/>
    </xf>
    <xf numFmtId="0" fontId="6" fillId="0" borderId="0" xfId="0" applyFont="1"/>
    <xf numFmtId="4" fontId="0" fillId="0" borderId="0" xfId="0" applyNumberFormat="1"/>
    <xf numFmtId="0" fontId="7" fillId="0" borderId="0" xfId="0" applyFont="1"/>
    <xf numFmtId="0" fontId="9" fillId="0" borderId="0" xfId="0" applyFont="1"/>
    <xf numFmtId="4" fontId="7" fillId="0" borderId="0" xfId="0" applyNumberFormat="1" applyFont="1" applyAlignment="1">
      <alignment horizontal="right"/>
    </xf>
    <xf numFmtId="0" fontId="11" fillId="0" borderId="0" xfId="0" applyFont="1" applyAlignment="1">
      <alignment horizontal="center" vertical="center" wrapText="1"/>
    </xf>
    <xf numFmtId="4" fontId="13" fillId="0" borderId="0" xfId="33" applyNumberFormat="1" applyFont="1" applyFill="1" applyBorder="1"/>
    <xf numFmtId="4" fontId="7" fillId="0" borderId="0" xfId="0" applyNumberFormat="1" applyFont="1"/>
    <xf numFmtId="0" fontId="12" fillId="0" borderId="0" xfId="31" applyAlignment="1" applyProtection="1"/>
    <xf numFmtId="0" fontId="17" fillId="0" borderId="0" xfId="0" applyFont="1"/>
    <xf numFmtId="49" fontId="17" fillId="0" borderId="0" xfId="0" applyNumberFormat="1" applyFont="1"/>
    <xf numFmtId="4" fontId="9" fillId="0" borderId="0" xfId="0" applyNumberFormat="1" applyFont="1"/>
    <xf numFmtId="0" fontId="17" fillId="0" borderId="0" xfId="0" applyFont="1" applyBorder="1"/>
    <xf numFmtId="4" fontId="4" fillId="0" borderId="0" xfId="0" applyNumberFormat="1" applyFont="1"/>
    <xf numFmtId="4" fontId="4" fillId="0" borderId="0" xfId="0" applyNumberFormat="1" applyFont="1" applyAlignment="1">
      <alignment horizontal="right"/>
    </xf>
    <xf numFmtId="0" fontId="4" fillId="0" borderId="0" xfId="0" applyFont="1"/>
    <xf numFmtId="0" fontId="4" fillId="0" borderId="0" xfId="0" applyFont="1" applyAlignment="1">
      <alignment horizontal="center"/>
    </xf>
    <xf numFmtId="4" fontId="3" fillId="0" borderId="0" xfId="0" applyNumberFormat="1" applyFont="1" applyAlignment="1">
      <alignment horizontal="right"/>
    </xf>
    <xf numFmtId="0" fontId="3" fillId="0" borderId="0" xfId="0" applyFont="1"/>
    <xf numFmtId="0" fontId="3" fillId="0" borderId="0" xfId="0" applyFont="1" applyAlignment="1">
      <alignment horizontal="left"/>
    </xf>
    <xf numFmtId="4" fontId="4" fillId="0" borderId="0" xfId="0" applyNumberFormat="1" applyFont="1" applyFill="1" applyAlignment="1">
      <alignment horizontal="right"/>
    </xf>
    <xf numFmtId="4" fontId="4" fillId="0" borderId="0" xfId="0" applyNumberFormat="1" applyFont="1" applyBorder="1"/>
    <xf numFmtId="4" fontId="7" fillId="0" borderId="0" xfId="0" applyNumberFormat="1" applyFont="1" applyFill="1" applyBorder="1" applyAlignment="1">
      <alignment horizontal="right"/>
    </xf>
    <xf numFmtId="4" fontId="3" fillId="0" borderId="0" xfId="0" applyNumberFormat="1" applyFont="1" applyBorder="1" applyAlignment="1">
      <alignment horizontal="right"/>
    </xf>
    <xf numFmtId="4" fontId="3" fillId="0" borderId="0" xfId="0" applyNumberFormat="1" applyFont="1"/>
    <xf numFmtId="2" fontId="3" fillId="0" borderId="0" xfId="0" applyNumberFormat="1" applyFont="1" applyAlignment="1">
      <alignment horizontal="center" vertical="center" wrapText="1"/>
    </xf>
    <xf numFmtId="0" fontId="4" fillId="0" borderId="0" xfId="51"/>
    <xf numFmtId="4" fontId="4" fillId="0" borderId="0" xfId="51" applyNumberFormat="1"/>
    <xf numFmtId="4" fontId="4" fillId="0" borderId="0" xfId="51" applyNumberFormat="1" applyAlignment="1">
      <alignment horizontal="right"/>
    </xf>
    <xf numFmtId="0" fontId="4" fillId="0" borderId="0" xfId="51" applyFont="1"/>
    <xf numFmtId="0" fontId="4" fillId="0" borderId="0" xfId="40" applyFont="1"/>
    <xf numFmtId="168" fontId="10" fillId="0" borderId="0" xfId="51" applyNumberFormat="1" applyFont="1"/>
    <xf numFmtId="4" fontId="4" fillId="0" borderId="0" xfId="0" applyNumberFormat="1" applyFont="1" applyFill="1" applyBorder="1" applyAlignment="1">
      <alignment vertical="top"/>
    </xf>
    <xf numFmtId="0" fontId="4" fillId="0" borderId="0" xfId="0" applyFont="1" applyBorder="1" applyAlignment="1">
      <alignment vertical="top"/>
    </xf>
    <xf numFmtId="0" fontId="4" fillId="0" borderId="0" xfId="0" applyFont="1" applyFill="1" applyBorder="1" applyAlignment="1">
      <alignment vertical="top"/>
    </xf>
    <xf numFmtId="0" fontId="3" fillId="0" borderId="0" xfId="0" applyFont="1" applyFill="1" applyBorder="1" applyAlignment="1">
      <alignment horizontal="center" vertical="top" wrapText="1"/>
    </xf>
    <xf numFmtId="0" fontId="4" fillId="0" borderId="0" xfId="0" applyFont="1" applyBorder="1" applyAlignment="1">
      <alignment horizontal="center" vertical="top" wrapText="1"/>
    </xf>
    <xf numFmtId="0" fontId="4" fillId="0" borderId="0" xfId="0" applyFont="1" applyBorder="1" applyAlignment="1">
      <alignment horizontal="justify" vertical="top" wrapText="1"/>
    </xf>
    <xf numFmtId="4" fontId="4" fillId="0" borderId="0" xfId="0" applyNumberFormat="1" applyFont="1" applyBorder="1" applyAlignment="1">
      <alignment vertical="top"/>
    </xf>
    <xf numFmtId="4" fontId="4" fillId="0" borderId="0" xfId="0" applyNumberFormat="1" applyFont="1" applyBorder="1" applyAlignment="1">
      <alignment horizontal="right" vertical="top"/>
    </xf>
    <xf numFmtId="4" fontId="4" fillId="0" borderId="0" xfId="0" applyNumberFormat="1" applyFont="1" applyFill="1" applyBorder="1" applyAlignment="1">
      <alignment horizontal="right" vertical="top"/>
    </xf>
    <xf numFmtId="0" fontId="4" fillId="0" borderId="0" xfId="0" applyFont="1" applyFill="1" applyBorder="1" applyAlignment="1">
      <alignment horizontal="center" vertical="top" wrapText="1"/>
    </xf>
    <xf numFmtId="0" fontId="4" fillId="0" borderId="0" xfId="0" applyFont="1" applyFill="1" applyBorder="1" applyAlignment="1">
      <alignment horizontal="justify" vertical="top" wrapText="1"/>
    </xf>
    <xf numFmtId="4" fontId="3" fillId="0" borderId="0" xfId="0" applyNumberFormat="1" applyFont="1" applyBorder="1" applyAlignment="1">
      <alignment vertical="top"/>
    </xf>
    <xf numFmtId="4" fontId="4" fillId="0" borderId="0" xfId="33" applyNumberFormat="1" applyFont="1" applyFill="1" applyBorder="1"/>
    <xf numFmtId="4" fontId="3" fillId="0" borderId="0" xfId="0" applyNumberFormat="1" applyFont="1" applyBorder="1"/>
    <xf numFmtId="4" fontId="3" fillId="0" borderId="0" xfId="0" applyNumberFormat="1" applyFont="1" applyFill="1"/>
    <xf numFmtId="0" fontId="4" fillId="0" borderId="0" xfId="0" applyNumberFormat="1" applyFont="1" applyBorder="1" applyAlignment="1">
      <alignment horizontal="justify" vertical="top" wrapText="1"/>
    </xf>
    <xf numFmtId="0" fontId="4" fillId="0" borderId="0" xfId="0" applyFont="1" applyBorder="1" applyAlignment="1">
      <alignment horizontal="justify" wrapText="1"/>
    </xf>
    <xf numFmtId="4" fontId="14" fillId="0" borderId="0" xfId="0" applyNumberFormat="1" applyFont="1" applyFill="1" applyAlignment="1">
      <alignment horizontal="right"/>
    </xf>
    <xf numFmtId="0" fontId="3" fillId="0" borderId="0" xfId="38" applyFont="1" applyFill="1"/>
    <xf numFmtId="4" fontId="3" fillId="0" borderId="0" xfId="38" applyNumberFormat="1" applyFont="1" applyBorder="1" applyAlignment="1">
      <alignment horizontal="center"/>
    </xf>
    <xf numFmtId="4" fontId="3" fillId="0" borderId="0" xfId="38" applyNumberFormat="1" applyFont="1" applyAlignment="1">
      <alignment horizontal="center"/>
    </xf>
    <xf numFmtId="0" fontId="3" fillId="0" borderId="0" xfId="38" applyFont="1"/>
    <xf numFmtId="4" fontId="3" fillId="0" borderId="0" xfId="38" applyNumberFormat="1" applyFont="1" applyAlignment="1">
      <alignment horizontal="right"/>
    </xf>
    <xf numFmtId="4" fontId="3" fillId="0" borderId="0" xfId="38" applyNumberFormat="1" applyFont="1" applyBorder="1" applyAlignment="1">
      <alignment horizontal="right"/>
    </xf>
    <xf numFmtId="0" fontId="15" fillId="0" borderId="0" xfId="0" applyFont="1"/>
    <xf numFmtId="0" fontId="4" fillId="0" borderId="0" xfId="0" applyFont="1" applyFill="1" applyBorder="1" applyAlignment="1">
      <alignment horizontal="center" vertical="top"/>
    </xf>
    <xf numFmtId="1" fontId="4" fillId="0" borderId="0" xfId="33" applyNumberFormat="1" applyFont="1" applyBorder="1" applyAlignment="1">
      <alignment horizontal="center"/>
    </xf>
    <xf numFmtId="0" fontId="4" fillId="0" borderId="0" xfId="0" applyFont="1" applyBorder="1"/>
    <xf numFmtId="0" fontId="9" fillId="0" borderId="0" xfId="40" applyFont="1"/>
    <xf numFmtId="43" fontId="4" fillId="0" borderId="0" xfId="40" applyNumberFormat="1" applyFont="1"/>
    <xf numFmtId="43" fontId="9" fillId="0" borderId="0" xfId="40" applyNumberFormat="1" applyFont="1" applyFill="1"/>
    <xf numFmtId="43" fontId="4" fillId="0" borderId="0" xfId="40" applyNumberFormat="1" applyFont="1" applyFill="1"/>
    <xf numFmtId="0" fontId="18" fillId="0" borderId="0" xfId="40" applyFont="1" applyFill="1" applyAlignment="1">
      <alignment horizontal="center"/>
    </xf>
    <xf numFmtId="43" fontId="9" fillId="0" borderId="0" xfId="40" applyNumberFormat="1" applyFont="1" applyFill="1" applyBorder="1" applyAlignment="1">
      <alignment horizontal="right"/>
    </xf>
    <xf numFmtId="0" fontId="9" fillId="0" borderId="0" xfId="40" applyNumberFormat="1" applyFont="1" applyFill="1" applyBorder="1" applyAlignment="1">
      <alignment horizontal="center"/>
    </xf>
    <xf numFmtId="4" fontId="4" fillId="0" borderId="0" xfId="40" applyNumberFormat="1" applyFont="1" applyFill="1" applyAlignment="1">
      <alignment horizontal="right"/>
    </xf>
    <xf numFmtId="0" fontId="17" fillId="0" borderId="0" xfId="40" applyFont="1"/>
    <xf numFmtId="0" fontId="9" fillId="0" borderId="0" xfId="40" applyFont="1" applyFill="1"/>
    <xf numFmtId="0" fontId="9" fillId="0" borderId="0" xfId="40" applyNumberFormat="1" applyFont="1" applyFill="1" applyAlignment="1">
      <alignment horizontal="center"/>
    </xf>
    <xf numFmtId="0" fontId="17" fillId="0" borderId="0" xfId="40" applyFont="1" applyFill="1"/>
    <xf numFmtId="4" fontId="9" fillId="0" borderId="0" xfId="40" applyNumberFormat="1" applyFont="1" applyFill="1" applyAlignment="1">
      <alignment horizontal="right"/>
    </xf>
    <xf numFmtId="0" fontId="9" fillId="0" borderId="0" xfId="40" applyFont="1" applyFill="1" applyAlignment="1">
      <alignment horizontal="center"/>
    </xf>
    <xf numFmtId="4" fontId="9" fillId="0" borderId="0" xfId="56" applyNumberFormat="1" applyFont="1" applyFill="1" applyAlignment="1">
      <alignment horizontal="right"/>
    </xf>
    <xf numFmtId="4" fontId="4" fillId="0" borderId="0" xfId="56" applyNumberFormat="1" applyFont="1" applyFill="1" applyAlignment="1">
      <alignment horizontal="right"/>
    </xf>
    <xf numFmtId="4" fontId="9" fillId="0" borderId="0" xfId="40" applyNumberFormat="1" applyFont="1" applyFill="1" applyBorder="1" applyAlignment="1">
      <alignment horizontal="right"/>
    </xf>
    <xf numFmtId="4" fontId="4" fillId="0" borderId="0" xfId="40" applyNumberFormat="1" applyFont="1" applyFill="1" applyBorder="1" applyAlignment="1">
      <alignment horizontal="right"/>
    </xf>
    <xf numFmtId="4" fontId="9" fillId="0" borderId="11" xfId="0" applyNumberFormat="1" applyFont="1" applyFill="1" applyBorder="1" applyAlignment="1">
      <alignment horizontal="right"/>
    </xf>
    <xf numFmtId="4" fontId="9" fillId="0" borderId="0" xfId="0" applyNumberFormat="1" applyFont="1" applyFill="1" applyBorder="1" applyAlignment="1">
      <alignment horizontal="right"/>
    </xf>
    <xf numFmtId="0" fontId="17" fillId="0" borderId="0" xfId="40" applyFont="1" applyAlignment="1">
      <alignment horizontal="right"/>
    </xf>
    <xf numFmtId="4" fontId="17" fillId="0" borderId="0" xfId="40" applyNumberFormat="1" applyFont="1" applyFill="1" applyBorder="1" applyAlignment="1">
      <alignment horizontal="right"/>
    </xf>
    <xf numFmtId="4" fontId="9" fillId="0" borderId="0" xfId="56" applyNumberFormat="1" applyFont="1" applyFill="1" applyBorder="1" applyAlignment="1">
      <alignment horizontal="right"/>
    </xf>
    <xf numFmtId="0" fontId="17" fillId="0" borderId="0" xfId="40" applyFont="1" applyFill="1" applyAlignment="1">
      <alignment horizontal="center"/>
    </xf>
    <xf numFmtId="4" fontId="17" fillId="0" borderId="12" xfId="40" applyNumberFormat="1" applyFont="1" applyFill="1" applyBorder="1" applyAlignment="1">
      <alignment horizontal="right"/>
    </xf>
    <xf numFmtId="4" fontId="17" fillId="0" borderId="0" xfId="40" applyNumberFormat="1" applyFont="1" applyFill="1" applyAlignment="1">
      <alignment horizontal="right"/>
    </xf>
    <xf numFmtId="0" fontId="9" fillId="0" borderId="0" xfId="40" applyFont="1" applyAlignment="1">
      <alignment horizontal="left"/>
    </xf>
    <xf numFmtId="0" fontId="9" fillId="0" borderId="0" xfId="40" quotePrefix="1" applyFont="1" applyFill="1" applyAlignment="1">
      <alignment horizontal="center"/>
    </xf>
    <xf numFmtId="4" fontId="17" fillId="0" borderId="10" xfId="40" applyNumberFormat="1" applyFont="1" applyFill="1" applyBorder="1" applyAlignment="1">
      <alignment horizontal="right"/>
    </xf>
    <xf numFmtId="4" fontId="3" fillId="0" borderId="0" xfId="40" applyNumberFormat="1" applyFont="1" applyFill="1" applyAlignment="1">
      <alignment horizontal="right"/>
    </xf>
    <xf numFmtId="43" fontId="4" fillId="0" borderId="0" xfId="40" applyNumberFormat="1" applyFont="1" applyFill="1" applyAlignment="1">
      <alignment horizontal="right"/>
    </xf>
    <xf numFmtId="0" fontId="17" fillId="0" borderId="0" xfId="40" applyFont="1" applyAlignment="1">
      <alignment horizontal="left"/>
    </xf>
    <xf numFmtId="0" fontId="4" fillId="0" borderId="0" xfId="40" applyFont="1" applyFill="1"/>
    <xf numFmtId="0" fontId="17" fillId="0" borderId="0" xfId="40" applyFont="1" applyFill="1" applyAlignment="1">
      <alignment horizontal="right"/>
    </xf>
    <xf numFmtId="165" fontId="17" fillId="0" borderId="0" xfId="40" applyNumberFormat="1" applyFont="1" applyFill="1"/>
    <xf numFmtId="165" fontId="17" fillId="0" borderId="0" xfId="40" applyNumberFormat="1" applyFont="1" applyFill="1" applyAlignment="1">
      <alignment horizontal="center"/>
    </xf>
    <xf numFmtId="4" fontId="17" fillId="0" borderId="13" xfId="40" applyNumberFormat="1" applyFont="1" applyFill="1" applyBorder="1" applyAlignment="1">
      <alignment horizontal="right"/>
    </xf>
    <xf numFmtId="4" fontId="38" fillId="0" borderId="0" xfId="40" applyNumberFormat="1" applyFont="1" applyFill="1" applyAlignment="1">
      <alignment horizontal="right"/>
    </xf>
    <xf numFmtId="4" fontId="16" fillId="0" borderId="0" xfId="40" applyNumberFormat="1" applyFont="1" applyFill="1" applyAlignment="1">
      <alignment horizontal="right"/>
    </xf>
    <xf numFmtId="165" fontId="17" fillId="0" borderId="0" xfId="40" applyNumberFormat="1" applyFont="1"/>
    <xf numFmtId="43" fontId="4" fillId="0" borderId="0" xfId="40" applyNumberFormat="1" applyFont="1" applyFill="1" applyAlignment="1">
      <alignment horizontal="center"/>
    </xf>
    <xf numFmtId="165" fontId="17" fillId="0" borderId="0" xfId="40" quotePrefix="1" applyNumberFormat="1" applyFont="1" applyAlignment="1">
      <alignment horizontal="left"/>
    </xf>
    <xf numFmtId="0" fontId="17" fillId="0" borderId="0" xfId="0" applyFont="1" applyFill="1" applyAlignment="1">
      <alignment horizontal="center"/>
    </xf>
    <xf numFmtId="4" fontId="17" fillId="0" borderId="11" xfId="40" applyNumberFormat="1" applyFont="1" applyFill="1" applyBorder="1" applyAlignment="1">
      <alignment horizontal="right"/>
    </xf>
    <xf numFmtId="4" fontId="4" fillId="0" borderId="0" xfId="33" applyNumberFormat="1" applyFont="1" applyBorder="1"/>
    <xf numFmtId="0" fontId="0" fillId="0" borderId="0" xfId="0" applyFont="1"/>
    <xf numFmtId="4" fontId="40" fillId="0" borderId="0" xfId="0" applyNumberFormat="1" applyFont="1"/>
    <xf numFmtId="0" fontId="15" fillId="0" borderId="0" xfId="51" applyFont="1"/>
    <xf numFmtId="0" fontId="4" fillId="0" borderId="0" xfId="40" applyFont="1" applyBorder="1"/>
    <xf numFmtId="0" fontId="4" fillId="21" borderId="0" xfId="0" applyFont="1" applyFill="1"/>
    <xf numFmtId="0" fontId="4" fillId="20" borderId="0" xfId="0" applyFont="1" applyFill="1"/>
    <xf numFmtId="0" fontId="42" fillId="0" borderId="0" xfId="0" applyFont="1"/>
    <xf numFmtId="0" fontId="4" fillId="22" borderId="0" xfId="0" applyFont="1" applyFill="1"/>
    <xf numFmtId="0" fontId="4" fillId="23" borderId="0" xfId="0" applyFont="1" applyFill="1"/>
    <xf numFmtId="0" fontId="4" fillId="0" borderId="0" xfId="0" applyFont="1" applyFill="1" applyBorder="1"/>
    <xf numFmtId="0" fontId="4" fillId="24" borderId="0" xfId="0" applyFont="1" applyFill="1"/>
    <xf numFmtId="4" fontId="3" fillId="0" borderId="0" xfId="33" applyNumberFormat="1" applyFont="1" applyBorder="1"/>
    <xf numFmtId="0" fontId="43" fillId="0" borderId="0" xfId="37" applyFont="1"/>
    <xf numFmtId="0" fontId="43" fillId="0" borderId="0" xfId="37" applyFont="1" applyAlignment="1">
      <alignment horizontal="right"/>
    </xf>
    <xf numFmtId="173" fontId="43" fillId="0" borderId="0" xfId="37" applyNumberFormat="1" applyFont="1"/>
    <xf numFmtId="0" fontId="0" fillId="0" borderId="0" xfId="0" applyBorder="1" applyAlignment="1">
      <alignment horizontal="center"/>
    </xf>
    <xf numFmtId="49" fontId="0" fillId="0" borderId="0" xfId="0" applyNumberFormat="1" applyFont="1" applyAlignment="1">
      <alignment horizontal="left"/>
    </xf>
    <xf numFmtId="0" fontId="21" fillId="0" borderId="0" xfId="52" applyFont="1"/>
    <xf numFmtId="175" fontId="3" fillId="0" borderId="0" xfId="38" applyNumberFormat="1" applyFont="1" applyBorder="1" applyAlignment="1">
      <alignment horizontal="center"/>
    </xf>
    <xf numFmtId="4" fontId="3" fillId="0" borderId="0" xfId="35" applyNumberFormat="1" applyFont="1" applyFill="1" applyBorder="1" applyAlignment="1" applyProtection="1">
      <alignment horizontal="right"/>
    </xf>
    <xf numFmtId="4" fontId="3" fillId="0" borderId="17" xfId="35" applyNumberFormat="1" applyFont="1" applyFill="1" applyBorder="1" applyAlignment="1" applyProtection="1">
      <alignment horizontal="right"/>
    </xf>
    <xf numFmtId="0" fontId="21" fillId="0" borderId="0" xfId="52" applyFont="1" applyAlignment="1">
      <alignment horizontal="right"/>
    </xf>
    <xf numFmtId="4" fontId="15" fillId="0" borderId="0" xfId="51" applyNumberFormat="1" applyFont="1" applyProtection="1">
      <protection locked="0"/>
    </xf>
    <xf numFmtId="4" fontId="0" fillId="19" borderId="0" xfId="0" applyNumberFormat="1" applyFill="1"/>
    <xf numFmtId="4" fontId="40" fillId="0" borderId="0" xfId="0" applyNumberFormat="1" applyFont="1" applyBorder="1" applyAlignment="1"/>
    <xf numFmtId="0" fontId="48" fillId="0" borderId="0" xfId="0" applyFont="1" applyAlignment="1">
      <alignment horizontal="center"/>
    </xf>
    <xf numFmtId="0" fontId="8" fillId="0" borderId="23" xfId="64" applyFont="1" applyBorder="1" applyAlignment="1">
      <alignment horizontal="center"/>
    </xf>
    <xf numFmtId="4" fontId="8" fillId="0" borderId="23" xfId="64" applyNumberFormat="1" applyFont="1" applyBorder="1" applyAlignment="1">
      <alignment horizontal="center"/>
    </xf>
    <xf numFmtId="0" fontId="10" fillId="0" borderId="0" xfId="64" applyFont="1" applyAlignment="1">
      <alignment horizontal="center"/>
    </xf>
    <xf numFmtId="0" fontId="10" fillId="0" borderId="0" xfId="64" applyFont="1"/>
    <xf numFmtId="4" fontId="10" fillId="0" borderId="0" xfId="64" applyNumberFormat="1" applyFont="1"/>
    <xf numFmtId="4" fontId="10" fillId="0" borderId="0" xfId="64" applyNumberFormat="1" applyFont="1" applyAlignment="1">
      <alignment horizontal="right"/>
    </xf>
    <xf numFmtId="0" fontId="10" fillId="25" borderId="0" xfId="64" applyFont="1" applyFill="1" applyAlignment="1">
      <alignment horizontal="center"/>
    </xf>
    <xf numFmtId="0" fontId="50" fillId="25" borderId="0" xfId="64" applyFont="1" applyFill="1" applyAlignment="1">
      <alignment horizontal="center"/>
    </xf>
    <xf numFmtId="0" fontId="0" fillId="0" borderId="0" xfId="0"/>
    <xf numFmtId="0" fontId="8" fillId="0" borderId="0" xfId="64" applyFont="1" applyAlignment="1">
      <alignment horizontal="center"/>
    </xf>
    <xf numFmtId="0" fontId="8" fillId="0" borderId="0" xfId="64" applyFont="1"/>
    <xf numFmtId="4" fontId="8" fillId="0" borderId="0" xfId="64" applyNumberFormat="1" applyFont="1"/>
    <xf numFmtId="0" fontId="51" fillId="0" borderId="0" xfId="64" applyFont="1" applyBorder="1" applyAlignment="1">
      <alignment horizontal="center"/>
    </xf>
    <xf numFmtId="0" fontId="51" fillId="0" borderId="0" xfId="64" applyFont="1" applyBorder="1"/>
    <xf numFmtId="4" fontId="51" fillId="0" borderId="0" xfId="64" applyNumberFormat="1" applyFont="1"/>
    <xf numFmtId="4" fontId="51" fillId="0" borderId="0" xfId="64" applyNumberFormat="1" applyFont="1" applyAlignment="1">
      <alignment horizontal="right"/>
    </xf>
    <xf numFmtId="4" fontId="8" fillId="0" borderId="0" xfId="64" applyNumberFormat="1" applyFont="1" applyAlignment="1">
      <alignment horizontal="right"/>
    </xf>
    <xf numFmtId="0" fontId="51" fillId="0" borderId="0" xfId="64" applyFont="1" applyAlignment="1">
      <alignment horizontal="center"/>
    </xf>
    <xf numFmtId="0" fontId="51" fillId="0" borderId="0" xfId="64" applyFont="1"/>
    <xf numFmtId="0" fontId="52" fillId="0" borderId="0" xfId="64" applyFont="1" applyAlignment="1">
      <alignment horizontal="center"/>
    </xf>
    <xf numFmtId="0" fontId="52" fillId="0" borderId="0" xfId="64" applyFont="1"/>
    <xf numFmtId="4" fontId="52" fillId="0" borderId="0" xfId="64" applyNumberFormat="1" applyFont="1"/>
    <xf numFmtId="4" fontId="52" fillId="0" borderId="0" xfId="64" applyNumberFormat="1" applyFont="1" applyAlignment="1">
      <alignment horizontal="right"/>
    </xf>
    <xf numFmtId="0" fontId="52" fillId="25" borderId="0" xfId="64" applyFont="1" applyFill="1" applyAlignment="1">
      <alignment horizontal="center"/>
    </xf>
    <xf numFmtId="0" fontId="51" fillId="25" borderId="0" xfId="64" applyFont="1" applyFill="1" applyAlignment="1">
      <alignment horizontal="center"/>
    </xf>
    <xf numFmtId="0" fontId="8" fillId="25" borderId="0" xfId="64" applyFont="1" applyFill="1" applyAlignment="1">
      <alignment horizontal="center"/>
    </xf>
    <xf numFmtId="4" fontId="4" fillId="0" borderId="0" xfId="64" applyNumberFormat="1" applyFont="1"/>
    <xf numFmtId="4" fontId="8" fillId="0" borderId="24" xfId="64" applyNumberFormat="1" applyFont="1" applyBorder="1"/>
    <xf numFmtId="4" fontId="52" fillId="0" borderId="0" xfId="64" applyNumberFormat="1" applyFont="1" applyFill="1"/>
    <xf numFmtId="177" fontId="4" fillId="0" borderId="0" xfId="64" applyNumberFormat="1" applyFont="1" applyBorder="1" applyAlignment="1" applyProtection="1"/>
    <xf numFmtId="4" fontId="4" fillId="0" borderId="0" xfId="64" applyNumberFormat="1" applyFont="1" applyAlignment="1">
      <alignment horizontal="right"/>
    </xf>
    <xf numFmtId="1" fontId="3" fillId="0" borderId="0" xfId="33" applyNumberFormat="1" applyFont="1" applyFill="1" applyBorder="1" applyAlignment="1">
      <alignment horizontal="center"/>
    </xf>
    <xf numFmtId="0" fontId="3" fillId="0" borderId="0" xfId="0" applyFont="1" applyFill="1" applyBorder="1" applyAlignment="1">
      <alignment horizontal="left"/>
    </xf>
    <xf numFmtId="0" fontId="17" fillId="0" borderId="14" xfId="40" applyNumberFormat="1" applyFont="1" applyFill="1" applyBorder="1" applyAlignment="1">
      <alignment horizontal="center"/>
    </xf>
    <xf numFmtId="0" fontId="17" fillId="0" borderId="0" xfId="40" applyNumberFormat="1" applyFont="1" applyFill="1" applyBorder="1" applyAlignment="1">
      <alignment horizontal="center"/>
    </xf>
    <xf numFmtId="4" fontId="4" fillId="0" borderId="0" xfId="0" applyNumberFormat="1" applyFont="1" applyFill="1" applyBorder="1" applyAlignment="1">
      <alignment horizontal="right"/>
    </xf>
    <xf numFmtId="0" fontId="3" fillId="0" borderId="0" xfId="0" applyFont="1" applyBorder="1"/>
    <xf numFmtId="4" fontId="3" fillId="0" borderId="0" xfId="0" applyNumberFormat="1" applyFont="1" applyFill="1" applyBorder="1" applyAlignment="1">
      <alignment horizontal="center"/>
    </xf>
    <xf numFmtId="4" fontId="3" fillId="0" borderId="18" xfId="0" applyNumberFormat="1" applyFont="1" applyFill="1" applyBorder="1"/>
    <xf numFmtId="4" fontId="4" fillId="0" borderId="18" xfId="0" applyNumberFormat="1" applyFont="1" applyFill="1" applyBorder="1"/>
    <xf numFmtId="4" fontId="3" fillId="0" borderId="25" xfId="0" applyNumberFormat="1" applyFont="1" applyFill="1" applyBorder="1"/>
    <xf numFmtId="164" fontId="7" fillId="0" borderId="0" xfId="33" applyFont="1" applyFill="1"/>
    <xf numFmtId="164" fontId="7" fillId="0" borderId="0" xfId="33" applyFont="1"/>
    <xf numFmtId="4" fontId="4" fillId="0" borderId="0" xfId="0" applyNumberFormat="1" applyFont="1" applyFill="1"/>
    <xf numFmtId="4" fontId="3" fillId="0" borderId="18" xfId="0" applyNumberFormat="1" applyFont="1" applyBorder="1"/>
    <xf numFmtId="0" fontId="0" fillId="0" borderId="0" xfId="0"/>
    <xf numFmtId="39" fontId="9" fillId="0" borderId="0" xfId="40" applyNumberFormat="1" applyFont="1" applyFill="1" applyBorder="1" applyAlignment="1">
      <alignment horizontal="right"/>
    </xf>
    <xf numFmtId="0" fontId="51" fillId="0" borderId="0" xfId="40" applyFont="1" applyFill="1" applyAlignment="1">
      <alignment horizontal="center"/>
    </xf>
    <xf numFmtId="0" fontId="8" fillId="0" borderId="0" xfId="40" applyNumberFormat="1" applyFont="1" applyFill="1" applyBorder="1" applyAlignment="1">
      <alignment horizontal="center"/>
    </xf>
    <xf numFmtId="0" fontId="56" fillId="0" borderId="0" xfId="37" applyNumberFormat="1" applyFont="1" applyFill="1" applyAlignment="1" applyProtection="1">
      <alignment vertical="top"/>
    </xf>
    <xf numFmtId="0" fontId="57" fillId="0" borderId="0" xfId="37" applyNumberFormat="1" applyFont="1" applyFill="1" applyAlignment="1" applyProtection="1">
      <alignment horizontal="center" vertical="top"/>
    </xf>
    <xf numFmtId="4" fontId="3" fillId="0" borderId="0" xfId="33" applyNumberFormat="1" applyFont="1" applyFill="1" applyBorder="1"/>
    <xf numFmtId="0" fontId="8" fillId="0" borderId="22" xfId="40" applyNumberFormat="1" applyFont="1" applyFill="1" applyBorder="1" applyAlignment="1">
      <alignment horizontal="center"/>
    </xf>
    <xf numFmtId="1" fontId="3" fillId="0" borderId="0" xfId="33" applyNumberFormat="1" applyFont="1" applyBorder="1" applyAlignment="1">
      <alignment horizontal="center"/>
    </xf>
    <xf numFmtId="0" fontId="3" fillId="0" borderId="0" xfId="0" applyNumberFormat="1" applyFont="1" applyBorder="1" applyAlignment="1">
      <alignment horizontal="center"/>
    </xf>
    <xf numFmtId="4" fontId="3" fillId="0" borderId="0" xfId="33" applyNumberFormat="1" applyFont="1" applyFill="1" applyBorder="1" applyAlignment="1">
      <alignment horizontal="center"/>
    </xf>
    <xf numFmtId="0" fontId="3" fillId="0" borderId="0" xfId="0" applyNumberFormat="1" applyFont="1" applyAlignment="1">
      <alignment horizontal="center"/>
    </xf>
    <xf numFmtId="1" fontId="3" fillId="0" borderId="0" xfId="0" applyNumberFormat="1" applyFont="1" applyBorder="1" applyAlignment="1">
      <alignment horizontal="center"/>
    </xf>
    <xf numFmtId="1" fontId="4" fillId="0" borderId="0" xfId="33" applyNumberFormat="1" applyFont="1" applyFill="1" applyBorder="1" applyAlignment="1">
      <alignment horizontal="center"/>
    </xf>
    <xf numFmtId="164" fontId="4" fillId="0" borderId="0" xfId="33" applyFont="1"/>
    <xf numFmtId="0" fontId="3" fillId="0" borderId="0" xfId="0" applyFont="1" applyFill="1" applyBorder="1"/>
    <xf numFmtId="43" fontId="4" fillId="21" borderId="0" xfId="0" applyNumberFormat="1" applyFont="1" applyFill="1"/>
    <xf numFmtId="164" fontId="4" fillId="20" borderId="0" xfId="33" applyFont="1" applyFill="1"/>
    <xf numFmtId="164" fontId="3" fillId="0" borderId="0" xfId="33" applyFont="1"/>
    <xf numFmtId="164" fontId="4" fillId="0" borderId="0" xfId="33" applyFont="1" applyFill="1"/>
    <xf numFmtId="164" fontId="3" fillId="0" borderId="0" xfId="33" applyFont="1" applyFill="1"/>
    <xf numFmtId="1" fontId="4" fillId="0" borderId="0" xfId="0" applyNumberFormat="1" applyFont="1" applyBorder="1" applyAlignment="1">
      <alignment horizontal="center"/>
    </xf>
    <xf numFmtId="164" fontId="4" fillId="22" borderId="0" xfId="33" applyFont="1" applyFill="1"/>
    <xf numFmtId="164" fontId="4" fillId="23" borderId="0" xfId="33" applyFont="1" applyFill="1"/>
    <xf numFmtId="4" fontId="3" fillId="0" borderId="25" xfId="33" applyNumberFormat="1" applyFont="1" applyFill="1" applyBorder="1"/>
    <xf numFmtId="43" fontId="3" fillId="0" borderId="0" xfId="0" applyNumberFormat="1" applyFont="1"/>
    <xf numFmtId="43" fontId="4" fillId="0" borderId="0" xfId="0" applyNumberFormat="1" applyFont="1"/>
    <xf numFmtId="0" fontId="3" fillId="24" borderId="0" xfId="0" applyFont="1" applyFill="1"/>
    <xf numFmtId="164" fontId="4" fillId="0" borderId="0" xfId="33" applyFont="1" applyBorder="1"/>
    <xf numFmtId="0" fontId="4" fillId="0" borderId="0" xfId="0" applyFont="1" applyFill="1"/>
    <xf numFmtId="4" fontId="4" fillId="0" borderId="0" xfId="0" applyNumberFormat="1" applyFont="1" applyFill="1" applyBorder="1"/>
    <xf numFmtId="0" fontId="3" fillId="0" borderId="20" xfId="0" applyFont="1" applyBorder="1" applyAlignment="1">
      <alignment horizontal="center" vertical="center" wrapText="1"/>
    </xf>
    <xf numFmtId="4" fontId="3" fillId="0" borderId="20" xfId="0" applyNumberFormat="1" applyFont="1" applyBorder="1" applyAlignment="1">
      <alignment horizontal="center" vertical="center" wrapText="1"/>
    </xf>
    <xf numFmtId="0" fontId="3" fillId="0" borderId="0" xfId="0" applyFont="1" applyBorder="1" applyAlignment="1">
      <alignment horizontal="center" vertical="center" wrapText="1"/>
    </xf>
    <xf numFmtId="4" fontId="3" fillId="0" borderId="0" xfId="0" applyNumberFormat="1" applyFont="1" applyBorder="1" applyAlignment="1">
      <alignment horizontal="center" vertical="center" wrapText="1"/>
    </xf>
    <xf numFmtId="0" fontId="3" fillId="0" borderId="0" xfId="0" applyFont="1" applyAlignment="1">
      <alignment horizontal="center" vertical="center" wrapText="1"/>
    </xf>
    <xf numFmtId="4" fontId="4" fillId="0" borderId="0" xfId="33" applyNumberFormat="1" applyFont="1"/>
    <xf numFmtId="4" fontId="7" fillId="0" borderId="0" xfId="33" applyNumberFormat="1" applyFont="1"/>
    <xf numFmtId="4" fontId="7" fillId="0" borderId="0" xfId="33" applyNumberFormat="1" applyFont="1" applyFill="1"/>
    <xf numFmtId="49" fontId="0" fillId="0" borderId="0" xfId="33" applyNumberFormat="1" applyFont="1" applyAlignment="1">
      <alignment horizontal="center"/>
    </xf>
    <xf numFmtId="49" fontId="0" fillId="0" borderId="0" xfId="33" applyNumberFormat="1" applyFont="1"/>
    <xf numFmtId="4" fontId="46" fillId="0" borderId="0" xfId="0" applyNumberFormat="1" applyFont="1" applyBorder="1"/>
    <xf numFmtId="4" fontId="40" fillId="19" borderId="0" xfId="0" applyNumberFormat="1" applyFont="1" applyFill="1"/>
    <xf numFmtId="2" fontId="3" fillId="0" borderId="0" xfId="0" applyNumberFormat="1" applyFont="1" applyBorder="1" applyAlignment="1">
      <alignment horizontal="center" vertical="center" wrapText="1"/>
    </xf>
    <xf numFmtId="4" fontId="59" fillId="0" borderId="0" xfId="0" applyNumberFormat="1" applyFont="1"/>
    <xf numFmtId="0" fontId="59" fillId="0" borderId="0" xfId="0" applyFont="1"/>
    <xf numFmtId="4" fontId="60" fillId="0" borderId="0" xfId="0" applyNumberFormat="1" applyFont="1"/>
    <xf numFmtId="4" fontId="60" fillId="26" borderId="0" xfId="0" applyNumberFormat="1" applyFont="1" applyFill="1" applyBorder="1"/>
    <xf numFmtId="4" fontId="60" fillId="0" borderId="0" xfId="0" applyNumberFormat="1" applyFont="1" applyAlignment="1">
      <alignment horizontal="right"/>
    </xf>
    <xf numFmtId="4" fontId="60" fillId="0" borderId="0" xfId="0" applyNumberFormat="1" applyFont="1" applyBorder="1"/>
    <xf numFmtId="4" fontId="59" fillId="0" borderId="0" xfId="42" applyNumberFormat="1" applyFont="1"/>
    <xf numFmtId="4" fontId="61" fillId="0" borderId="0" xfId="0" applyNumberFormat="1" applyFont="1"/>
    <xf numFmtId="4" fontId="61" fillId="0" borderId="0" xfId="0" applyNumberFormat="1" applyFont="1" applyAlignment="1">
      <alignment horizontal="right"/>
    </xf>
    <xf numFmtId="0" fontId="9" fillId="0" borderId="0" xfId="51" applyFont="1"/>
    <xf numFmtId="0" fontId="55" fillId="0" borderId="0" xfId="0" applyFont="1"/>
    <xf numFmtId="0" fontId="56" fillId="0" borderId="0" xfId="0" applyFont="1"/>
    <xf numFmtId="10" fontId="64" fillId="0" borderId="0" xfId="40" applyNumberFormat="1" applyFont="1" applyFill="1" applyAlignment="1" applyProtection="1">
      <alignment vertical="top"/>
    </xf>
    <xf numFmtId="0" fontId="66" fillId="0" borderId="0" xfId="40" applyNumberFormat="1" applyFont="1" applyFill="1" applyAlignment="1" applyProtection="1">
      <alignment horizontal="center" vertical="top"/>
    </xf>
    <xf numFmtId="0" fontId="64" fillId="0" borderId="0" xfId="40" applyNumberFormat="1" applyFont="1" applyFill="1" applyAlignment="1" applyProtection="1">
      <alignment vertical="top"/>
    </xf>
    <xf numFmtId="0" fontId="67" fillId="0" borderId="0" xfId="40" applyNumberFormat="1" applyFont="1" applyFill="1" applyAlignment="1" applyProtection="1">
      <alignment horizontal="center" vertical="top"/>
    </xf>
    <xf numFmtId="0" fontId="67" fillId="0" borderId="0" xfId="40" applyNumberFormat="1" applyFont="1" applyFill="1" applyBorder="1" applyAlignment="1" applyProtection="1">
      <alignment horizontal="center" vertical="top"/>
    </xf>
    <xf numFmtId="0" fontId="56" fillId="0" borderId="0" xfId="40" applyNumberFormat="1" applyFont="1" applyFill="1" applyBorder="1" applyAlignment="1" applyProtection="1">
      <alignment horizontal="center" vertical="top"/>
    </xf>
    <xf numFmtId="0" fontId="56" fillId="0" borderId="27" xfId="40" applyNumberFormat="1" applyFont="1" applyFill="1" applyBorder="1" applyAlignment="1" applyProtection="1">
      <alignment horizontal="center" vertical="top"/>
    </xf>
    <xf numFmtId="4" fontId="56" fillId="0" borderId="0" xfId="40" applyNumberFormat="1" applyFont="1" applyFill="1" applyAlignment="1" applyProtection="1">
      <alignment horizontal="right" vertical="top"/>
    </xf>
    <xf numFmtId="0" fontId="19" fillId="0" borderId="0" xfId="40" applyNumberFormat="1" applyFont="1" applyFill="1" applyAlignment="1" applyProtection="1">
      <alignment vertical="top"/>
    </xf>
    <xf numFmtId="0" fontId="3" fillId="0" borderId="0" xfId="40" applyNumberFormat="1" applyFont="1" applyFill="1" applyAlignment="1" applyProtection="1">
      <alignment vertical="top"/>
    </xf>
    <xf numFmtId="0" fontId="64" fillId="0" borderId="0" xfId="40" applyNumberFormat="1" applyFont="1" applyFill="1" applyAlignment="1" applyProtection="1">
      <alignment horizontal="justify" vertical="top"/>
    </xf>
    <xf numFmtId="0" fontId="19" fillId="0" borderId="0" xfId="40" applyNumberFormat="1" applyFont="1" applyFill="1" applyAlignment="1" applyProtection="1">
      <alignment horizontal="center" vertical="top"/>
    </xf>
    <xf numFmtId="0" fontId="70" fillId="0" borderId="0" xfId="40" applyNumberFormat="1" applyFont="1" applyFill="1" applyAlignment="1" applyProtection="1">
      <alignment horizontal="center" vertical="top"/>
    </xf>
    <xf numFmtId="0" fontId="71" fillId="0" borderId="0" xfId="40" applyNumberFormat="1" applyFont="1" applyFill="1" applyAlignment="1" applyProtection="1">
      <alignment horizontal="center" vertical="top"/>
    </xf>
    <xf numFmtId="0" fontId="72" fillId="0" borderId="0" xfId="40" applyNumberFormat="1" applyFont="1" applyFill="1" applyAlignment="1" applyProtection="1">
      <alignment horizontal="center" vertical="top"/>
    </xf>
    <xf numFmtId="0" fontId="4" fillId="0" borderId="0" xfId="40" applyNumberFormat="1" applyFont="1" applyFill="1" applyAlignment="1" applyProtection="1">
      <alignment horizontal="center" vertical="top"/>
    </xf>
    <xf numFmtId="4" fontId="56" fillId="0" borderId="0" xfId="56" applyNumberFormat="1" applyFont="1" applyFill="1" applyAlignment="1" applyProtection="1">
      <alignment horizontal="right" vertical="top"/>
    </xf>
    <xf numFmtId="0" fontId="56" fillId="0" borderId="0" xfId="40" applyNumberFormat="1" applyFont="1" applyFill="1" applyAlignment="1" applyProtection="1">
      <alignment vertical="top"/>
    </xf>
    <xf numFmtId="0" fontId="56" fillId="0" borderId="0" xfId="40" applyNumberFormat="1" applyFont="1" applyFill="1" applyAlignment="1" applyProtection="1">
      <alignment horizontal="center" vertical="top"/>
    </xf>
    <xf numFmtId="179" fontId="56" fillId="0" borderId="0" xfId="40" applyNumberFormat="1" applyFont="1" applyFill="1" applyAlignment="1" applyProtection="1">
      <alignment vertical="top"/>
    </xf>
    <xf numFmtId="10" fontId="64" fillId="0" borderId="0" xfId="0" applyNumberFormat="1" applyFont="1" applyFill="1" applyAlignment="1">
      <alignment vertical="top"/>
    </xf>
    <xf numFmtId="0" fontId="64" fillId="0" borderId="0" xfId="0" applyNumberFormat="1" applyFont="1" applyFill="1" applyAlignment="1">
      <alignment vertical="top"/>
    </xf>
    <xf numFmtId="14" fontId="55" fillId="0" borderId="0" xfId="40" applyNumberFormat="1" applyFont="1" applyFill="1" applyAlignment="1" applyProtection="1">
      <alignment horizontal="center" vertical="top"/>
    </xf>
    <xf numFmtId="14" fontId="55" fillId="0" borderId="27" xfId="40" applyNumberFormat="1" applyFont="1" applyFill="1" applyBorder="1" applyAlignment="1" applyProtection="1">
      <alignment horizontal="center" vertical="top"/>
    </xf>
    <xf numFmtId="0" fontId="19" fillId="0" borderId="0" xfId="40" applyNumberFormat="1" applyFont="1" applyFill="1" applyBorder="1" applyAlignment="1" applyProtection="1">
      <alignment horizontal="center" vertical="top"/>
    </xf>
    <xf numFmtId="0" fontId="72" fillId="0" borderId="0" xfId="40" applyNumberFormat="1" applyFont="1" applyFill="1" applyBorder="1" applyAlignment="1" applyProtection="1">
      <alignment horizontal="center" vertical="top"/>
    </xf>
    <xf numFmtId="0" fontId="19" fillId="0" borderId="0" xfId="0" applyNumberFormat="1" applyFont="1" applyFill="1" applyAlignment="1">
      <alignment horizontal="center" vertical="top"/>
    </xf>
    <xf numFmtId="176" fontId="19" fillId="0" borderId="0" xfId="40" applyNumberFormat="1" applyFont="1" applyFill="1" applyAlignment="1" applyProtection="1">
      <alignment horizontal="center" vertical="top"/>
    </xf>
    <xf numFmtId="4" fontId="55" fillId="0" borderId="0" xfId="40" applyNumberFormat="1" applyFont="1" applyFill="1" applyAlignment="1" applyProtection="1">
      <alignment horizontal="right" vertical="top"/>
    </xf>
    <xf numFmtId="0" fontId="3" fillId="0" borderId="0" xfId="0" applyFont="1" applyAlignment="1"/>
    <xf numFmtId="4" fontId="3" fillId="0" borderId="0" xfId="0" applyNumberFormat="1" applyFont="1" applyFill="1" applyBorder="1" applyAlignment="1">
      <alignment vertical="top"/>
    </xf>
    <xf numFmtId="0" fontId="52" fillId="0" borderId="0" xfId="64" applyFont="1" applyFill="1" applyAlignment="1">
      <alignment horizontal="center"/>
    </xf>
    <xf numFmtId="0" fontId="52" fillId="0" borderId="0" xfId="64" applyFont="1" applyFill="1"/>
    <xf numFmtId="0" fontId="10" fillId="0" borderId="0" xfId="64" applyFont="1" applyFill="1" applyAlignment="1">
      <alignment horizontal="center"/>
    </xf>
    <xf numFmtId="0" fontId="10" fillId="0" borderId="0" xfId="64" applyFont="1" applyFill="1"/>
    <xf numFmtId="4" fontId="10" fillId="0" borderId="0" xfId="64" applyNumberFormat="1" applyFont="1" applyFill="1"/>
    <xf numFmtId="4" fontId="10" fillId="0" borderId="0" xfId="64" applyNumberFormat="1" applyFont="1" applyFill="1" applyAlignment="1">
      <alignment horizontal="right"/>
    </xf>
    <xf numFmtId="0" fontId="65" fillId="0" borderId="0" xfId="40" applyNumberFormat="1" applyFont="1" applyFill="1" applyAlignment="1" applyProtection="1">
      <alignment vertical="top"/>
    </xf>
    <xf numFmtId="10" fontId="4" fillId="0" borderId="0" xfId="0" applyNumberFormat="1" applyFont="1"/>
    <xf numFmtId="0" fontId="78" fillId="0" borderId="0" xfId="0" applyFont="1"/>
    <xf numFmtId="0" fontId="78" fillId="0" borderId="0" xfId="0" applyFont="1" applyAlignment="1">
      <alignment horizontal="center"/>
    </xf>
    <xf numFmtId="0" fontId="53" fillId="0" borderId="0" xfId="0" applyFont="1"/>
    <xf numFmtId="0" fontId="53" fillId="0" borderId="0" xfId="0" applyFont="1" applyAlignment="1">
      <alignment wrapText="1"/>
    </xf>
    <xf numFmtId="0" fontId="53" fillId="0" borderId="0" xfId="0" applyFont="1" applyAlignment="1">
      <alignment horizontal="center"/>
    </xf>
    <xf numFmtId="0" fontId="79" fillId="27" borderId="0" xfId="0" applyFont="1" applyFill="1" applyAlignment="1"/>
    <xf numFmtId="0" fontId="10" fillId="0" borderId="0" xfId="0" applyFont="1" applyFill="1"/>
    <xf numFmtId="0" fontId="81" fillId="0" borderId="0" xfId="0" applyFont="1" applyFill="1"/>
    <xf numFmtId="0" fontId="53" fillId="0" borderId="0" xfId="0" applyFont="1" applyFill="1" applyBorder="1"/>
    <xf numFmtId="0" fontId="53" fillId="0" borderId="0" xfId="0" applyFont="1" applyFill="1" applyBorder="1" applyAlignment="1">
      <alignment horizontal="center" vertical="center" wrapText="1"/>
    </xf>
    <xf numFmtId="0" fontId="53" fillId="0" borderId="0" xfId="0" applyFont="1" applyFill="1" applyBorder="1" applyAlignment="1">
      <alignment vertical="center" wrapText="1"/>
    </xf>
    <xf numFmtId="9" fontId="53" fillId="0" borderId="0" xfId="0" applyNumberFormat="1" applyFont="1" applyFill="1" applyBorder="1" applyAlignment="1">
      <alignment horizontal="center" vertical="center" wrapText="1"/>
    </xf>
    <xf numFmtId="0" fontId="77" fillId="0" borderId="0" xfId="0" applyFont="1" applyBorder="1" applyAlignment="1">
      <alignment horizontal="center"/>
    </xf>
    <xf numFmtId="0" fontId="78" fillId="0" borderId="0" xfId="0" applyFont="1" applyBorder="1"/>
    <xf numFmtId="0" fontId="78" fillId="0" borderId="0" xfId="0" applyFont="1" applyBorder="1" applyAlignment="1">
      <alignment horizontal="center"/>
    </xf>
    <xf numFmtId="0" fontId="80" fillId="0" borderId="0" xfId="0" applyFont="1" applyBorder="1" applyAlignment="1"/>
    <xf numFmtId="0" fontId="53" fillId="0" borderId="0" xfId="0" applyFont="1" applyBorder="1" applyAlignment="1">
      <alignment wrapText="1"/>
    </xf>
    <xf numFmtId="0" fontId="80" fillId="0" borderId="0" xfId="0" applyFont="1" applyBorder="1" applyAlignment="1">
      <alignment horizontal="center"/>
    </xf>
    <xf numFmtId="0" fontId="53" fillId="0" borderId="0" xfId="0" applyFont="1" applyBorder="1"/>
    <xf numFmtId="0" fontId="80" fillId="0" borderId="0" xfId="0" applyFont="1" applyFill="1" applyBorder="1" applyAlignment="1">
      <alignment horizontal="center"/>
    </xf>
    <xf numFmtId="0" fontId="80" fillId="0" borderId="0" xfId="0" applyNumberFormat="1" applyFont="1" applyFill="1" applyBorder="1" applyAlignment="1">
      <alignment horizontal="center"/>
    </xf>
    <xf numFmtId="170" fontId="80" fillId="0" borderId="0" xfId="0" applyNumberFormat="1" applyFont="1" applyFill="1" applyBorder="1"/>
    <xf numFmtId="0" fontId="80" fillId="0" borderId="0" xfId="0" applyFont="1"/>
    <xf numFmtId="0" fontId="79" fillId="27" borderId="0" xfId="0" applyFont="1" applyFill="1"/>
    <xf numFmtId="170" fontId="10" fillId="0" borderId="0" xfId="0" applyNumberFormat="1" applyFont="1" applyFill="1" applyBorder="1" applyAlignment="1">
      <alignment vertical="center"/>
    </xf>
    <xf numFmtId="9" fontId="10" fillId="0" borderId="0"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170" fontId="10" fillId="0" borderId="0" xfId="0" applyNumberFormat="1" applyFont="1" applyFill="1" applyBorder="1" applyAlignment="1">
      <alignment horizontal="left" vertical="center" wrapText="1"/>
    </xf>
    <xf numFmtId="10" fontId="10" fillId="0" borderId="0" xfId="0" applyNumberFormat="1" applyFont="1" applyFill="1" applyBorder="1" applyAlignment="1">
      <alignment horizontal="left" vertical="center" wrapText="1"/>
    </xf>
    <xf numFmtId="0" fontId="79" fillId="27" borderId="35" xfId="0" applyFont="1" applyFill="1" applyBorder="1" applyAlignment="1"/>
    <xf numFmtId="10" fontId="68" fillId="0" borderId="0" xfId="0" applyNumberFormat="1" applyFont="1" applyFill="1" applyAlignment="1">
      <alignment vertical="top"/>
    </xf>
    <xf numFmtId="0" fontId="68" fillId="0" borderId="0" xfId="0" applyNumberFormat="1" applyFont="1" applyFill="1" applyAlignment="1">
      <alignment vertical="top"/>
    </xf>
    <xf numFmtId="164" fontId="9" fillId="0" borderId="0" xfId="33" applyFont="1" applyBorder="1" applyAlignment="1">
      <alignment horizontal="right"/>
    </xf>
    <xf numFmtId="0" fontId="65" fillId="0" borderId="0" xfId="0" applyFont="1"/>
    <xf numFmtId="0" fontId="64" fillId="0" borderId="0" xfId="0" applyFont="1"/>
    <xf numFmtId="4" fontId="64" fillId="0" borderId="0" xfId="0" applyNumberFormat="1" applyFont="1" applyAlignment="1">
      <alignment horizontal="center"/>
    </xf>
    <xf numFmtId="4" fontId="64" fillId="0" borderId="0" xfId="0" applyNumberFormat="1" applyFont="1"/>
    <xf numFmtId="4" fontId="56" fillId="0" borderId="0" xfId="0" applyNumberFormat="1" applyFont="1"/>
    <xf numFmtId="164" fontId="64" fillId="0" borderId="0" xfId="33" applyFont="1"/>
    <xf numFmtId="164" fontId="64" fillId="0" borderId="36" xfId="33" applyFont="1" applyBorder="1"/>
    <xf numFmtId="164" fontId="65" fillId="0" borderId="0" xfId="33" applyFont="1" applyBorder="1"/>
    <xf numFmtId="0" fontId="64" fillId="0" borderId="0" xfId="0" applyFont="1" applyAlignment="1">
      <alignment horizontal="center"/>
    </xf>
    <xf numFmtId="4" fontId="65" fillId="0" borderId="0" xfId="0" applyNumberFormat="1" applyFont="1"/>
    <xf numFmtId="4" fontId="64" fillId="0" borderId="0" xfId="40" applyNumberFormat="1" applyFont="1" applyFill="1" applyAlignment="1" applyProtection="1">
      <alignment vertical="top"/>
    </xf>
    <xf numFmtId="10" fontId="66" fillId="0" borderId="0" xfId="42" applyNumberFormat="1" applyFont="1" applyFill="1" applyAlignment="1" applyProtection="1">
      <alignment horizontal="center" vertical="top"/>
    </xf>
    <xf numFmtId="10" fontId="56" fillId="0" borderId="0" xfId="42" applyNumberFormat="1" applyFont="1" applyFill="1" applyAlignment="1" applyProtection="1">
      <alignment vertical="top"/>
    </xf>
    <xf numFmtId="10" fontId="64" fillId="0" borderId="0" xfId="42" applyNumberFormat="1" applyFont="1" applyFill="1" applyAlignment="1" applyProtection="1">
      <alignment vertical="top"/>
    </xf>
    <xf numFmtId="0" fontId="3" fillId="0" borderId="0" xfId="0" applyFont="1" applyAlignment="1">
      <alignment horizontal="justify" vertical="top"/>
    </xf>
    <xf numFmtId="0" fontId="4" fillId="0" borderId="0" xfId="0" applyFont="1" applyAlignment="1">
      <alignment horizontal="justify" vertical="top"/>
    </xf>
    <xf numFmtId="0" fontId="4" fillId="0" borderId="0" xfId="0" applyFont="1" applyFill="1" applyAlignment="1">
      <alignment horizontal="justify" vertical="top"/>
    </xf>
    <xf numFmtId="0" fontId="3" fillId="0" borderId="0" xfId="0" applyFont="1" applyFill="1" applyAlignment="1">
      <alignment horizontal="justify" vertical="top"/>
    </xf>
    <xf numFmtId="0" fontId="4" fillId="0" borderId="0" xfId="0" applyFont="1" applyFill="1" applyBorder="1" applyAlignment="1">
      <alignment horizontal="justify" vertical="top"/>
    </xf>
    <xf numFmtId="4" fontId="4" fillId="0" borderId="26" xfId="33" applyNumberFormat="1" applyFont="1" applyBorder="1"/>
    <xf numFmtId="0" fontId="65" fillId="0" borderId="0" xfId="40" applyNumberFormat="1" applyFont="1" applyFill="1" applyAlignment="1" applyProtection="1">
      <alignment horizontal="center" vertical="top"/>
    </xf>
    <xf numFmtId="10" fontId="65" fillId="0" borderId="0" xfId="42" applyNumberFormat="1" applyFont="1" applyFill="1" applyAlignment="1" applyProtection="1">
      <alignment horizontal="center" vertical="top"/>
    </xf>
    <xf numFmtId="0" fontId="56" fillId="0" borderId="0" xfId="0" applyNumberFormat="1" applyFont="1" applyFill="1" applyAlignment="1">
      <alignment vertical="top"/>
    </xf>
    <xf numFmtId="10" fontId="56" fillId="0" borderId="0" xfId="42" applyNumberFormat="1" applyFont="1" applyFill="1" applyAlignment="1">
      <alignment vertical="top"/>
    </xf>
    <xf numFmtId="15" fontId="55" fillId="0" borderId="0" xfId="0" applyNumberFormat="1" applyFont="1" applyFill="1" applyAlignment="1">
      <alignment horizontal="center" vertical="top"/>
    </xf>
    <xf numFmtId="10" fontId="55" fillId="0" borderId="0" xfId="42" applyNumberFormat="1" applyFont="1" applyFill="1" applyAlignment="1" applyProtection="1">
      <alignment horizontal="center" vertical="top"/>
    </xf>
    <xf numFmtId="0" fontId="4" fillId="0" borderId="0" xfId="0" applyFont="1" applyAlignment="1">
      <alignment horizontal="center"/>
    </xf>
    <xf numFmtId="14" fontId="55" fillId="0" borderId="22" xfId="40" applyNumberFormat="1" applyFont="1" applyFill="1" applyBorder="1" applyAlignment="1" applyProtection="1">
      <alignment horizontal="center" vertical="top"/>
    </xf>
    <xf numFmtId="14" fontId="55" fillId="0" borderId="0" xfId="40" applyNumberFormat="1" applyFont="1" applyFill="1" applyBorder="1" applyAlignment="1" applyProtection="1">
      <alignment horizontal="center" vertical="top"/>
    </xf>
    <xf numFmtId="0" fontId="55" fillId="0" borderId="27" xfId="40" applyNumberFormat="1" applyFont="1" applyFill="1" applyBorder="1" applyAlignment="1" applyProtection="1">
      <alignment horizontal="center" vertical="top"/>
    </xf>
    <xf numFmtId="10" fontId="55" fillId="0" borderId="22" xfId="42" applyNumberFormat="1" applyFont="1" applyFill="1" applyBorder="1" applyAlignment="1" applyProtection="1">
      <alignment horizontal="center" vertical="top"/>
    </xf>
    <xf numFmtId="0" fontId="55" fillId="0" borderId="0" xfId="40" applyNumberFormat="1" applyFont="1" applyFill="1" applyAlignment="1" applyProtection="1">
      <alignment horizontal="justify" vertical="top"/>
    </xf>
    <xf numFmtId="4" fontId="56" fillId="0" borderId="27" xfId="40" applyNumberFormat="1" applyFont="1" applyFill="1" applyBorder="1" applyAlignment="1" applyProtection="1">
      <alignment horizontal="right" vertical="top"/>
    </xf>
    <xf numFmtId="4" fontId="56" fillId="0" borderId="0" xfId="40" applyNumberFormat="1" applyFont="1" applyFill="1" applyAlignment="1" applyProtection="1">
      <alignment vertical="top"/>
    </xf>
    <xf numFmtId="0" fontId="56" fillId="0" borderId="0" xfId="40" applyNumberFormat="1" applyFont="1" applyFill="1" applyAlignment="1" applyProtection="1">
      <alignment horizontal="justify" vertical="top"/>
    </xf>
    <xf numFmtId="10" fontId="56" fillId="0" borderId="0" xfId="42" applyNumberFormat="1" applyFont="1" applyFill="1" applyBorder="1" applyAlignment="1">
      <alignment vertical="top"/>
    </xf>
    <xf numFmtId="4" fontId="56" fillId="0" borderId="0" xfId="0" applyNumberFormat="1" applyFont="1" applyFill="1" applyAlignment="1">
      <alignment horizontal="right" vertical="top"/>
    </xf>
    <xf numFmtId="0" fontId="58" fillId="0" borderId="0" xfId="40" applyNumberFormat="1" applyFont="1" applyFill="1" applyAlignment="1" applyProtection="1">
      <alignment horizontal="justify" vertical="top"/>
    </xf>
    <xf numFmtId="39" fontId="56" fillId="0" borderId="0" xfId="40" applyNumberFormat="1" applyFont="1" applyFill="1" applyAlignment="1" applyProtection="1">
      <alignment horizontal="right" vertical="top"/>
    </xf>
    <xf numFmtId="4" fontId="4" fillId="0" borderId="0" xfId="0" applyNumberFormat="1" applyFont="1" applyFill="1" applyAlignment="1">
      <alignment horizontal="right" vertical="top"/>
    </xf>
    <xf numFmtId="10" fontId="4" fillId="0" borderId="0" xfId="42" applyNumberFormat="1" applyFont="1" applyFill="1" applyAlignment="1">
      <alignment horizontal="right" vertical="top"/>
    </xf>
    <xf numFmtId="4" fontId="56" fillId="0" borderId="0" xfId="0" applyNumberFormat="1" applyFont="1" applyFill="1" applyAlignment="1">
      <alignment vertical="top"/>
    </xf>
    <xf numFmtId="4" fontId="56" fillId="0" borderId="27" xfId="0" applyNumberFormat="1" applyFont="1" applyFill="1" applyBorder="1" applyAlignment="1">
      <alignment vertical="top"/>
    </xf>
    <xf numFmtId="4" fontId="56" fillId="0" borderId="27" xfId="56" applyNumberFormat="1" applyFont="1" applyFill="1" applyBorder="1" applyAlignment="1" applyProtection="1">
      <alignment horizontal="right" vertical="top"/>
    </xf>
    <xf numFmtId="0" fontId="56" fillId="0" borderId="27" xfId="0" applyNumberFormat="1" applyFont="1" applyFill="1" applyBorder="1" applyAlignment="1">
      <alignment vertical="top"/>
    </xf>
    <xf numFmtId="4" fontId="56" fillId="0" borderId="26" xfId="0" applyNumberFormat="1" applyFont="1" applyFill="1" applyBorder="1" applyAlignment="1">
      <alignment horizontal="right" vertical="top"/>
    </xf>
    <xf numFmtId="4" fontId="56" fillId="0" borderId="26" xfId="40" applyNumberFormat="1" applyFont="1" applyFill="1" applyBorder="1" applyAlignment="1" applyProtection="1">
      <alignment vertical="top"/>
    </xf>
    <xf numFmtId="10" fontId="56" fillId="0" borderId="26" xfId="42" applyNumberFormat="1" applyFont="1" applyFill="1" applyBorder="1" applyAlignment="1">
      <alignment vertical="top"/>
    </xf>
    <xf numFmtId="0" fontId="55" fillId="0" borderId="20" xfId="40" applyNumberFormat="1" applyFont="1" applyFill="1" applyBorder="1" applyAlignment="1" applyProtection="1">
      <alignment horizontal="justify" vertical="top"/>
    </xf>
    <xf numFmtId="178" fontId="55" fillId="0" borderId="0" xfId="33" applyNumberFormat="1" applyFont="1" applyFill="1" applyAlignment="1" applyProtection="1">
      <alignment horizontal="right" vertical="top"/>
    </xf>
    <xf numFmtId="4" fontId="55" fillId="0" borderId="20" xfId="40" applyNumberFormat="1" applyFont="1" applyFill="1" applyBorder="1" applyAlignment="1" applyProtection="1">
      <alignment horizontal="right" vertical="top"/>
    </xf>
    <xf numFmtId="4" fontId="55" fillId="0" borderId="0" xfId="33" applyNumberFormat="1" applyFont="1" applyFill="1" applyAlignment="1" applyProtection="1">
      <alignment horizontal="right" vertical="top"/>
    </xf>
    <xf numFmtId="4" fontId="55" fillId="0" borderId="20" xfId="40" applyNumberFormat="1" applyFont="1" applyFill="1" applyBorder="1" applyAlignment="1" applyProtection="1">
      <alignment vertical="top"/>
    </xf>
    <xf numFmtId="4" fontId="55" fillId="0" borderId="0" xfId="0" applyNumberFormat="1" applyFont="1" applyFill="1" applyAlignment="1">
      <alignment horizontal="right" vertical="top"/>
    </xf>
    <xf numFmtId="10" fontId="77" fillId="0" borderId="20" xfId="42" applyNumberFormat="1" applyFont="1" applyFill="1" applyBorder="1" applyAlignment="1">
      <alignment vertical="top"/>
    </xf>
    <xf numFmtId="4" fontId="85" fillId="0" borderId="0" xfId="0" applyNumberFormat="1" applyFont="1" applyFill="1" applyAlignment="1">
      <alignment horizontal="right" vertical="top"/>
    </xf>
    <xf numFmtId="4" fontId="56" fillId="0" borderId="0" xfId="40" applyNumberFormat="1" applyFont="1" applyFill="1" applyBorder="1" applyAlignment="1" applyProtection="1">
      <alignment vertical="top"/>
    </xf>
    <xf numFmtId="0" fontId="58" fillId="0" borderId="0" xfId="69" applyNumberFormat="1" applyFont="1" applyFill="1" applyAlignment="1" applyProtection="1">
      <alignment horizontal="justify" vertical="top"/>
    </xf>
    <xf numFmtId="4" fontId="56" fillId="0" borderId="0" xfId="70" applyNumberFormat="1" applyFont="1" applyFill="1" applyAlignment="1" applyProtection="1">
      <alignment horizontal="right" vertical="top"/>
    </xf>
    <xf numFmtId="0" fontId="58" fillId="0" borderId="0" xfId="69" applyNumberFormat="1" applyFont="1" applyFill="1" applyBorder="1" applyAlignment="1" applyProtection="1">
      <alignment horizontal="justify" vertical="top"/>
    </xf>
    <xf numFmtId="4" fontId="56" fillId="0" borderId="26" xfId="70" applyNumberFormat="1" applyFont="1" applyFill="1" applyBorder="1" applyAlignment="1" applyProtection="1">
      <alignment horizontal="right" vertical="top"/>
    </xf>
    <xf numFmtId="4" fontId="78" fillId="0" borderId="0" xfId="40" applyNumberFormat="1" applyFont="1" applyFill="1" applyAlignment="1" applyProtection="1">
      <alignment horizontal="center" vertical="top"/>
    </xf>
    <xf numFmtId="4" fontId="56" fillId="0" borderId="0" xfId="70" applyNumberFormat="1" applyFont="1" applyFill="1" applyBorder="1" applyAlignment="1" applyProtection="1">
      <alignment horizontal="right" vertical="top"/>
    </xf>
    <xf numFmtId="4" fontId="56" fillId="0" borderId="27" xfId="70" applyNumberFormat="1" applyFont="1" applyFill="1" applyBorder="1" applyAlignment="1" applyProtection="1">
      <alignment horizontal="right" vertical="top"/>
    </xf>
    <xf numFmtId="4" fontId="85" fillId="0" borderId="0" xfId="0" applyNumberFormat="1" applyFont="1" applyFill="1" applyBorder="1" applyAlignment="1">
      <alignment horizontal="right" vertical="top"/>
    </xf>
    <xf numFmtId="39" fontId="56" fillId="0" borderId="26" xfId="40" applyNumberFormat="1" applyFont="1" applyFill="1" applyBorder="1" applyAlignment="1" applyProtection="1">
      <alignment horizontal="right" vertical="top"/>
    </xf>
    <xf numFmtId="0" fontId="56" fillId="0" borderId="0" xfId="0" applyNumberFormat="1" applyFont="1" applyFill="1" applyBorder="1" applyAlignment="1">
      <alignment vertical="top"/>
    </xf>
    <xf numFmtId="4" fontId="4" fillId="0" borderId="26" xfId="0" applyNumberFormat="1" applyFont="1" applyFill="1" applyBorder="1" applyAlignment="1">
      <alignment horizontal="right" vertical="top"/>
    </xf>
    <xf numFmtId="10" fontId="4" fillId="0" borderId="26" xfId="42" applyNumberFormat="1" applyFont="1" applyFill="1" applyBorder="1" applyAlignment="1">
      <alignment horizontal="right" vertical="top"/>
    </xf>
    <xf numFmtId="0" fontId="56" fillId="0" borderId="0" xfId="69" applyNumberFormat="1" applyFont="1" applyFill="1" applyBorder="1" applyAlignment="1" applyProtection="1">
      <alignment horizontal="justify" vertical="top"/>
    </xf>
    <xf numFmtId="0" fontId="56" fillId="0" borderId="0" xfId="40" applyNumberFormat="1" applyFont="1" applyFill="1" applyBorder="1" applyAlignment="1" applyProtection="1">
      <alignment vertical="top"/>
    </xf>
    <xf numFmtId="4" fontId="56" fillId="0" borderId="0" xfId="0" applyNumberFormat="1" applyFont="1" applyFill="1" applyBorder="1" applyAlignment="1">
      <alignment horizontal="right" vertical="top"/>
    </xf>
    <xf numFmtId="0" fontId="56" fillId="0" borderId="0" xfId="69" applyNumberFormat="1" applyFont="1" applyFill="1" applyAlignment="1" applyProtection="1">
      <alignment horizontal="justify" vertical="top"/>
    </xf>
    <xf numFmtId="4" fontId="56" fillId="0" borderId="0" xfId="40" applyNumberFormat="1" applyFont="1" applyFill="1" applyBorder="1" applyAlignment="1" applyProtection="1">
      <alignment horizontal="right" vertical="top"/>
    </xf>
    <xf numFmtId="4" fontId="55" fillId="0" borderId="27" xfId="40" applyNumberFormat="1" applyFont="1" applyFill="1" applyBorder="1" applyAlignment="1" applyProtection="1">
      <alignment horizontal="right" vertical="top"/>
    </xf>
    <xf numFmtId="4" fontId="55" fillId="0" borderId="26" xfId="40" applyNumberFormat="1" applyFont="1" applyFill="1" applyBorder="1" applyAlignment="1" applyProtection="1">
      <alignment vertical="top"/>
    </xf>
    <xf numFmtId="10" fontId="55" fillId="0" borderId="26" xfId="42" applyNumberFormat="1" applyFont="1" applyFill="1" applyBorder="1" applyAlignment="1">
      <alignment vertical="top"/>
    </xf>
    <xf numFmtId="4" fontId="56" fillId="0" borderId="27" xfId="0" applyNumberFormat="1" applyFont="1" applyFill="1" applyBorder="1" applyAlignment="1">
      <alignment horizontal="right" vertical="top"/>
    </xf>
    <xf numFmtId="0" fontId="55" fillId="0" borderId="25" xfId="40" applyNumberFormat="1" applyFont="1" applyFill="1" applyBorder="1" applyAlignment="1" applyProtection="1">
      <alignment horizontal="justify" vertical="top"/>
    </xf>
    <xf numFmtId="4" fontId="56" fillId="0" borderId="28" xfId="40" applyNumberFormat="1" applyFont="1" applyFill="1" applyBorder="1" applyAlignment="1" applyProtection="1">
      <alignment horizontal="right" vertical="top"/>
    </xf>
    <xf numFmtId="4" fontId="56" fillId="0" borderId="28" xfId="40" applyNumberFormat="1" applyFont="1" applyFill="1" applyBorder="1" applyAlignment="1" applyProtection="1">
      <alignment vertical="top"/>
    </xf>
    <xf numFmtId="10" fontId="56" fillId="0" borderId="28" xfId="42" applyNumberFormat="1" applyFont="1" applyFill="1" applyBorder="1" applyAlignment="1" applyProtection="1">
      <alignment vertical="top"/>
    </xf>
    <xf numFmtId="4" fontId="55" fillId="0" borderId="29" xfId="40" applyNumberFormat="1" applyFont="1" applyFill="1" applyBorder="1" applyAlignment="1" applyProtection="1">
      <alignment horizontal="left" vertical="top"/>
    </xf>
    <xf numFmtId="4" fontId="55" fillId="0" borderId="29" xfId="40" applyNumberFormat="1" applyFont="1" applyFill="1" applyBorder="1" applyAlignment="1" applyProtection="1">
      <alignment horizontal="right" vertical="top"/>
    </xf>
    <xf numFmtId="179" fontId="56" fillId="0" borderId="0" xfId="40" applyNumberFormat="1" applyFont="1" applyFill="1" applyAlignment="1" applyProtection="1">
      <alignment horizontal="right" vertical="top"/>
    </xf>
    <xf numFmtId="179" fontId="56" fillId="0" borderId="27" xfId="40" applyNumberFormat="1" applyFont="1" applyFill="1" applyBorder="1" applyAlignment="1" applyProtection="1">
      <alignment vertical="top"/>
    </xf>
    <xf numFmtId="4" fontId="56" fillId="0" borderId="37" xfId="40" applyNumberFormat="1" applyFont="1" applyFill="1" applyBorder="1" applyAlignment="1" applyProtection="1">
      <alignment horizontal="right" vertical="top"/>
    </xf>
    <xf numFmtId="4" fontId="55" fillId="0" borderId="26" xfId="40" applyNumberFormat="1" applyFont="1" applyFill="1" applyBorder="1" applyAlignment="1" applyProtection="1">
      <alignment horizontal="right" vertical="top"/>
    </xf>
    <xf numFmtId="10" fontId="56" fillId="0" borderId="0" xfId="42" applyNumberFormat="1" applyFont="1" applyFill="1" applyAlignment="1" applyProtection="1">
      <alignment horizontal="right" vertical="top"/>
    </xf>
    <xf numFmtId="4" fontId="56" fillId="0" borderId="26" xfId="40" applyNumberFormat="1" applyFont="1" applyFill="1" applyBorder="1" applyAlignment="1" applyProtection="1">
      <alignment horizontal="right" vertical="top"/>
    </xf>
    <xf numFmtId="10" fontId="55" fillId="0" borderId="20" xfId="42" applyNumberFormat="1" applyFont="1" applyFill="1" applyBorder="1" applyAlignment="1">
      <alignment vertical="top"/>
    </xf>
    <xf numFmtId="0" fontId="56" fillId="0" borderId="25" xfId="40" applyNumberFormat="1" applyFont="1" applyFill="1" applyBorder="1" applyAlignment="1" applyProtection="1">
      <alignment horizontal="justify" vertical="top"/>
    </xf>
    <xf numFmtId="10" fontId="56" fillId="0" borderId="28" xfId="42" applyNumberFormat="1" applyFont="1" applyFill="1" applyBorder="1" applyAlignment="1" applyProtection="1">
      <alignment horizontal="right" vertical="top"/>
    </xf>
    <xf numFmtId="0" fontId="55" fillId="0" borderId="26" xfId="40" applyNumberFormat="1" applyFont="1" applyFill="1" applyBorder="1" applyAlignment="1" applyProtection="1">
      <alignment horizontal="justify" vertical="top"/>
    </xf>
    <xf numFmtId="179" fontId="56" fillId="0" borderId="0" xfId="40" applyNumberFormat="1" applyFont="1" applyFill="1" applyAlignment="1" applyProtection="1">
      <alignment horizontal="center" vertical="top"/>
    </xf>
    <xf numFmtId="0" fontId="58" fillId="0" borderId="0" xfId="40" applyNumberFormat="1" applyFont="1" applyFill="1" applyBorder="1" applyAlignment="1" applyProtection="1">
      <alignment horizontal="justify" vertical="top"/>
    </xf>
    <xf numFmtId="0" fontId="56" fillId="0" borderId="0" xfId="40" applyNumberFormat="1" applyFont="1" applyFill="1" applyBorder="1" applyAlignment="1" applyProtection="1">
      <alignment horizontal="justify" vertical="top"/>
    </xf>
    <xf numFmtId="4" fontId="86" fillId="0" borderId="0" xfId="40" applyNumberFormat="1" applyFont="1" applyFill="1" applyBorder="1" applyAlignment="1" applyProtection="1">
      <alignment horizontal="right" vertical="top"/>
    </xf>
    <xf numFmtId="179" fontId="56" fillId="0" borderId="0" xfId="40" applyNumberFormat="1" applyFont="1" applyFill="1" applyBorder="1" applyAlignment="1" applyProtection="1">
      <alignment horizontal="center" vertical="top"/>
    </xf>
    <xf numFmtId="0" fontId="55" fillId="0" borderId="28" xfId="40" applyNumberFormat="1" applyFont="1" applyFill="1" applyBorder="1" applyAlignment="1" applyProtection="1">
      <alignment horizontal="justify" vertical="top"/>
    </xf>
    <xf numFmtId="4" fontId="55" fillId="0" borderId="28" xfId="40" applyNumberFormat="1" applyFont="1" applyFill="1" applyBorder="1" applyAlignment="1" applyProtection="1">
      <alignment horizontal="right" vertical="top"/>
    </xf>
    <xf numFmtId="4" fontId="86" fillId="0" borderId="0" xfId="40" applyNumberFormat="1" applyFont="1" applyFill="1" applyAlignment="1" applyProtection="1">
      <alignment horizontal="right" vertical="top"/>
    </xf>
    <xf numFmtId="176" fontId="55" fillId="0" borderId="26" xfId="40" applyNumberFormat="1" applyFont="1" applyFill="1" applyBorder="1" applyAlignment="1" applyProtection="1">
      <alignment horizontal="justify" vertical="top"/>
    </xf>
    <xf numFmtId="176" fontId="55" fillId="0" borderId="28" xfId="40" applyNumberFormat="1" applyFont="1" applyFill="1" applyBorder="1" applyAlignment="1" applyProtection="1">
      <alignment horizontal="justify" vertical="top"/>
    </xf>
    <xf numFmtId="4" fontId="86" fillId="0" borderId="28" xfId="40" applyNumberFormat="1" applyFont="1" applyFill="1" applyBorder="1" applyAlignment="1" applyProtection="1">
      <alignment horizontal="right" vertical="top"/>
    </xf>
    <xf numFmtId="4" fontId="86" fillId="0" borderId="27" xfId="40" applyNumberFormat="1" applyFont="1" applyFill="1" applyBorder="1" applyAlignment="1" applyProtection="1">
      <alignment horizontal="right" vertical="top"/>
    </xf>
    <xf numFmtId="4" fontId="56" fillId="0" borderId="25" xfId="40" applyNumberFormat="1" applyFont="1" applyFill="1" applyBorder="1" applyAlignment="1" applyProtection="1">
      <alignment vertical="top"/>
    </xf>
    <xf numFmtId="10" fontId="56" fillId="0" borderId="25" xfId="42" applyNumberFormat="1" applyFont="1" applyFill="1" applyBorder="1" applyAlignment="1" applyProtection="1">
      <alignment horizontal="right" vertical="top"/>
    </xf>
    <xf numFmtId="176" fontId="55" fillId="0" borderId="0" xfId="40" applyNumberFormat="1" applyFont="1" applyFill="1" applyAlignment="1" applyProtection="1">
      <alignment horizontal="justify" vertical="top"/>
    </xf>
    <xf numFmtId="43" fontId="17" fillId="0" borderId="0" xfId="40" applyNumberFormat="1" applyFont="1"/>
    <xf numFmtId="0" fontId="84" fillId="0" borderId="0" xfId="0" applyFont="1" applyBorder="1" applyAlignment="1">
      <alignment horizontal="center"/>
    </xf>
    <xf numFmtId="0" fontId="89" fillId="0" borderId="0" xfId="0" applyFont="1"/>
    <xf numFmtId="0" fontId="90" fillId="0" borderId="0" xfId="0" applyFont="1"/>
    <xf numFmtId="0" fontId="17" fillId="0" borderId="0" xfId="0" applyFont="1" applyBorder="1" applyAlignment="1">
      <alignment horizontal="justify" vertical="top"/>
    </xf>
    <xf numFmtId="0" fontId="17" fillId="0" borderId="0" xfId="0" applyFont="1" applyAlignment="1">
      <alignment horizontal="justify" vertical="top"/>
    </xf>
    <xf numFmtId="0" fontId="9" fillId="0" borderId="0" xfId="0" applyFont="1" applyAlignment="1">
      <alignment horizontal="justify" vertical="top"/>
    </xf>
    <xf numFmtId="0" fontId="91" fillId="0" borderId="0" xfId="0" applyFont="1" applyAlignment="1">
      <alignment horizontal="justify" vertical="top"/>
    </xf>
    <xf numFmtId="0" fontId="9" fillId="0" borderId="0" xfId="0" applyFont="1" applyFill="1" applyAlignment="1">
      <alignment horizontal="justify" vertical="top"/>
    </xf>
    <xf numFmtId="0" fontId="21" fillId="0" borderId="0" xfId="0" applyNumberFormat="1" applyFont="1" applyAlignment="1">
      <alignment horizontal="justify" vertical="top"/>
    </xf>
    <xf numFmtId="0" fontId="83" fillId="0" borderId="0" xfId="0" applyNumberFormat="1" applyFont="1" applyAlignment="1">
      <alignment vertical="top"/>
    </xf>
    <xf numFmtId="0" fontId="88" fillId="0" borderId="0" xfId="0" applyFont="1" applyFill="1" applyAlignment="1">
      <alignment vertical="top"/>
    </xf>
    <xf numFmtId="49" fontId="17" fillId="0" borderId="22" xfId="0" applyNumberFormat="1" applyFont="1" applyBorder="1" applyAlignment="1">
      <alignment horizontal="center" vertical="top"/>
    </xf>
    <xf numFmtId="49" fontId="17" fillId="0" borderId="0" xfId="0" applyNumberFormat="1" applyFont="1" applyBorder="1" applyAlignment="1">
      <alignment horizontal="center" vertical="top"/>
    </xf>
    <xf numFmtId="4" fontId="17" fillId="0" borderId="0" xfId="0" applyNumberFormat="1" applyFont="1" applyAlignment="1">
      <alignment horizontal="right" vertical="top"/>
    </xf>
    <xf numFmtId="4" fontId="17" fillId="0" borderId="0" xfId="0" applyNumberFormat="1" applyFont="1" applyBorder="1" applyAlignment="1">
      <alignment horizontal="right" vertical="top"/>
    </xf>
    <xf numFmtId="4" fontId="9" fillId="0" borderId="0" xfId="61" applyNumberFormat="1" applyFont="1" applyFill="1" applyBorder="1" applyAlignment="1" applyProtection="1">
      <alignment horizontal="right" vertical="top"/>
    </xf>
    <xf numFmtId="4" fontId="9" fillId="0" borderId="0" xfId="0" applyNumberFormat="1" applyFont="1" applyAlignment="1">
      <alignment horizontal="right" vertical="top"/>
    </xf>
    <xf numFmtId="4" fontId="9" fillId="0" borderId="0" xfId="0" applyNumberFormat="1" applyFont="1" applyBorder="1" applyAlignment="1">
      <alignment horizontal="right" vertical="top"/>
    </xf>
    <xf numFmtId="4" fontId="9" fillId="0" borderId="16" xfId="0" applyNumberFormat="1" applyFont="1" applyBorder="1" applyAlignment="1">
      <alignment horizontal="right" vertical="top"/>
    </xf>
    <xf numFmtId="4" fontId="91" fillId="0" borderId="0" xfId="0" applyNumberFormat="1" applyFont="1" applyAlignment="1">
      <alignment vertical="top"/>
    </xf>
    <xf numFmtId="4" fontId="17" fillId="0" borderId="38" xfId="0" applyNumberFormat="1" applyFont="1" applyBorder="1" applyAlignment="1">
      <alignment horizontal="right" vertical="top"/>
    </xf>
    <xf numFmtId="4" fontId="17" fillId="0" borderId="17" xfId="0" applyNumberFormat="1" applyFont="1" applyBorder="1" applyAlignment="1">
      <alignment horizontal="right" vertical="top"/>
    </xf>
    <xf numFmtId="4" fontId="9" fillId="0" borderId="38" xfId="0" applyNumberFormat="1" applyFont="1" applyBorder="1" applyAlignment="1">
      <alignment horizontal="right" vertical="top"/>
    </xf>
    <xf numFmtId="4" fontId="9" fillId="0" borderId="0" xfId="0" applyNumberFormat="1" applyFont="1" applyFill="1" applyAlignment="1">
      <alignment horizontal="right" vertical="top"/>
    </xf>
    <xf numFmtId="4" fontId="9" fillId="0" borderId="16" xfId="0" applyNumberFormat="1" applyFont="1" applyFill="1" applyBorder="1" applyAlignment="1">
      <alignment horizontal="right" vertical="top"/>
    </xf>
    <xf numFmtId="0" fontId="21" fillId="0" borderId="0" xfId="0" applyNumberFormat="1" applyFont="1" applyAlignment="1">
      <alignment vertical="top"/>
    </xf>
    <xf numFmtId="0" fontId="21" fillId="0" borderId="0" xfId="0" applyNumberFormat="1" applyFont="1" applyBorder="1" applyAlignment="1">
      <alignment vertical="top"/>
    </xf>
    <xf numFmtId="0" fontId="83" fillId="0" borderId="0" xfId="0" applyNumberFormat="1" applyFont="1" applyBorder="1" applyAlignment="1">
      <alignment vertical="top"/>
    </xf>
    <xf numFmtId="0" fontId="82" fillId="0" borderId="0" xfId="0" applyFont="1" applyAlignment="1">
      <alignment vertical="top"/>
    </xf>
    <xf numFmtId="0" fontId="83" fillId="0" borderId="0" xfId="0" applyNumberFormat="1" applyFont="1" applyFill="1" applyBorder="1" applyAlignment="1">
      <alignment vertical="top"/>
    </xf>
    <xf numFmtId="0" fontId="92" fillId="0" borderId="0" xfId="0" applyFont="1" applyAlignment="1">
      <alignment horizontal="justify" vertical="top"/>
    </xf>
    <xf numFmtId="0" fontId="92" fillId="0" borderId="0" xfId="0" applyFont="1" applyBorder="1" applyAlignment="1">
      <alignment horizontal="justify" vertical="top"/>
    </xf>
    <xf numFmtId="0" fontId="76" fillId="0" borderId="0" xfId="37" applyFont="1"/>
    <xf numFmtId="0" fontId="76" fillId="0" borderId="0" xfId="37" applyFont="1" applyAlignment="1">
      <alignment horizontal="right"/>
    </xf>
    <xf numFmtId="173" fontId="76" fillId="0" borderId="0" xfId="37" applyNumberFormat="1" applyFont="1"/>
    <xf numFmtId="0" fontId="76" fillId="0" borderId="0" xfId="0" applyFont="1"/>
    <xf numFmtId="0" fontId="9" fillId="0" borderId="0" xfId="37" applyFont="1" applyBorder="1"/>
    <xf numFmtId="0" fontId="95" fillId="0" borderId="0" xfId="37" applyFont="1" applyFill="1" applyAlignment="1" applyProtection="1"/>
    <xf numFmtId="173" fontId="96" fillId="0" borderId="0" xfId="37" applyNumberFormat="1" applyFont="1" applyFill="1" applyAlignment="1" applyProtection="1">
      <alignment horizontal="center"/>
    </xf>
    <xf numFmtId="173" fontId="96" fillId="0" borderId="0" xfId="37" applyNumberFormat="1" applyFont="1" applyFill="1" applyAlignment="1" applyProtection="1"/>
    <xf numFmtId="0" fontId="17" fillId="0" borderId="0" xfId="72" applyNumberFormat="1" applyFont="1" applyBorder="1" applyAlignment="1">
      <alignment horizontal="center"/>
    </xf>
    <xf numFmtId="170" fontId="96" fillId="0" borderId="0" xfId="73" applyNumberFormat="1" applyFont="1" applyFill="1" applyAlignment="1" applyProtection="1">
      <alignment horizontal="right"/>
    </xf>
    <xf numFmtId="4" fontId="9" fillId="0" borderId="0" xfId="37" applyNumberFormat="1" applyFont="1" applyBorder="1"/>
    <xf numFmtId="4" fontId="9" fillId="0" borderId="0" xfId="34" applyNumberFormat="1" applyFont="1" applyBorder="1" applyAlignment="1" applyProtection="1">
      <alignment horizontal="right"/>
    </xf>
    <xf numFmtId="4" fontId="96" fillId="0" borderId="0" xfId="37" applyNumberFormat="1" applyFont="1" applyFill="1" applyAlignment="1" applyProtection="1">
      <alignment horizontal="right"/>
    </xf>
    <xf numFmtId="4" fontId="9" fillId="0" borderId="0" xfId="45" applyNumberFormat="1" applyFont="1" applyAlignment="1">
      <alignment horizontal="right"/>
    </xf>
    <xf numFmtId="4" fontId="96" fillId="0" borderId="0" xfId="37" applyNumberFormat="1" applyFont="1" applyFill="1" applyBorder="1" applyAlignment="1" applyProtection="1">
      <alignment horizontal="right"/>
    </xf>
    <xf numFmtId="4" fontId="96" fillId="0" borderId="0" xfId="73" applyNumberFormat="1" applyFont="1" applyFill="1" applyAlignment="1" applyProtection="1">
      <alignment horizontal="right"/>
    </xf>
    <xf numFmtId="4" fontId="96" fillId="0" borderId="39" xfId="37" applyNumberFormat="1" applyFont="1" applyFill="1" applyBorder="1" applyAlignment="1" applyProtection="1">
      <alignment horizontal="right"/>
    </xf>
    <xf numFmtId="4" fontId="9" fillId="0" borderId="38" xfId="45" applyNumberFormat="1" applyFont="1" applyBorder="1" applyAlignment="1">
      <alignment horizontal="right"/>
    </xf>
    <xf numFmtId="4" fontId="96" fillId="0" borderId="0" xfId="37" applyNumberFormat="1" applyFont="1" applyFill="1" applyBorder="1" applyAlignment="1" applyProtection="1"/>
    <xf numFmtId="4" fontId="9" fillId="0" borderId="0" xfId="45" applyNumberFormat="1" applyFont="1" applyBorder="1" applyAlignment="1">
      <alignment horizontal="right"/>
    </xf>
    <xf numFmtId="4" fontId="96" fillId="0" borderId="0" xfId="37" applyNumberFormat="1" applyFont="1" applyFill="1" applyAlignment="1" applyProtection="1"/>
    <xf numFmtId="4" fontId="97" fillId="0" borderId="0" xfId="72" applyNumberFormat="1" applyFont="1" applyFill="1" applyAlignment="1" applyProtection="1">
      <alignment horizontal="right"/>
    </xf>
    <xf numFmtId="4" fontId="95" fillId="0" borderId="0" xfId="37" applyNumberFormat="1" applyFont="1" applyFill="1" applyAlignment="1" applyProtection="1"/>
    <xf numFmtId="4" fontId="96" fillId="0" borderId="38" xfId="37" applyNumberFormat="1" applyFont="1" applyFill="1" applyBorder="1" applyAlignment="1" applyProtection="1">
      <alignment horizontal="right"/>
    </xf>
    <xf numFmtId="10" fontId="96" fillId="0" borderId="0" xfId="37" applyNumberFormat="1" applyFont="1" applyFill="1" applyAlignment="1" applyProtection="1">
      <alignment horizontal="right"/>
    </xf>
    <xf numFmtId="10" fontId="95" fillId="0" borderId="0" xfId="37" applyNumberFormat="1" applyFont="1" applyFill="1" applyAlignment="1" applyProtection="1">
      <alignment horizontal="right"/>
    </xf>
    <xf numFmtId="0" fontId="96" fillId="0" borderId="0" xfId="37" applyFont="1" applyFill="1" applyAlignment="1" applyProtection="1">
      <alignment horizontal="justify" vertical="top"/>
    </xf>
    <xf numFmtId="0" fontId="76" fillId="0" borderId="0" xfId="72" applyFont="1" applyAlignment="1">
      <alignment vertical="top"/>
    </xf>
    <xf numFmtId="0" fontId="98" fillId="0" borderId="0" xfId="39" applyFont="1" applyAlignment="1"/>
    <xf numFmtId="0" fontId="98" fillId="0" borderId="0" xfId="39" applyFont="1"/>
    <xf numFmtId="0" fontId="57" fillId="0" borderId="0" xfId="37" applyNumberFormat="1" applyFont="1" applyFill="1" applyAlignment="1" applyProtection="1">
      <alignment horizontal="right" vertical="top"/>
    </xf>
    <xf numFmtId="0" fontId="76" fillId="0" borderId="0" xfId="0" applyFont="1" applyAlignment="1">
      <alignment horizontal="right"/>
    </xf>
    <xf numFmtId="0" fontId="76" fillId="0" borderId="0" xfId="72" applyFont="1" applyAlignment="1">
      <alignment horizontal="right" vertical="top"/>
    </xf>
    <xf numFmtId="0" fontId="98" fillId="0" borderId="0" xfId="39" applyFont="1" applyAlignment="1">
      <alignment horizontal="right"/>
    </xf>
    <xf numFmtId="0" fontId="9" fillId="0" borderId="0" xfId="37" applyFont="1" applyBorder="1" applyAlignment="1">
      <alignment horizontal="right"/>
    </xf>
    <xf numFmtId="173" fontId="96" fillId="0" borderId="0" xfId="37" applyNumberFormat="1" applyFont="1" applyFill="1" applyAlignment="1" applyProtection="1">
      <alignment horizontal="right"/>
    </xf>
    <xf numFmtId="0" fontId="95" fillId="0" borderId="0" xfId="37" applyFont="1" applyFill="1" applyAlignment="1" applyProtection="1">
      <alignment horizontal="justify" vertical="top"/>
    </xf>
    <xf numFmtId="0" fontId="96" fillId="0" borderId="0" xfId="72" applyFont="1" applyFill="1" applyAlignment="1" applyProtection="1">
      <alignment horizontal="justify" vertical="top"/>
    </xf>
    <xf numFmtId="0" fontId="99" fillId="0" borderId="0" xfId="37" applyFont="1" applyFill="1" applyAlignment="1" applyProtection="1"/>
    <xf numFmtId="0" fontId="78" fillId="0" borderId="0" xfId="0" applyFont="1" applyAlignment="1">
      <alignment horizontal="right"/>
    </xf>
    <xf numFmtId="0" fontId="4" fillId="0" borderId="0" xfId="37" applyFont="1" applyBorder="1" applyAlignment="1">
      <alignment horizontal="justify" vertical="top"/>
    </xf>
    <xf numFmtId="0" fontId="93" fillId="0" borderId="0" xfId="37" applyFont="1" applyFill="1" applyAlignment="1" applyProtection="1">
      <alignment horizontal="justify" vertical="top"/>
    </xf>
    <xf numFmtId="0" fontId="78" fillId="0" borderId="0" xfId="0" applyFont="1" applyAlignment="1">
      <alignment horizontal="justify" vertical="top"/>
    </xf>
    <xf numFmtId="0" fontId="78" fillId="0" borderId="0" xfId="0" applyFont="1" applyAlignment="1">
      <alignment horizontal="right" vertical="top"/>
    </xf>
    <xf numFmtId="0" fontId="5" fillId="0" borderId="0" xfId="39" applyFont="1" applyAlignment="1">
      <alignment horizontal="justify" vertical="top"/>
    </xf>
    <xf numFmtId="1" fontId="17" fillId="0" borderId="0" xfId="0" applyNumberFormat="1" applyFont="1" applyBorder="1" applyAlignment="1">
      <alignment horizontal="center"/>
    </xf>
    <xf numFmtId="4" fontId="17" fillId="0" borderId="0" xfId="0" applyNumberFormat="1" applyFont="1" applyBorder="1"/>
    <xf numFmtId="4" fontId="3" fillId="0" borderId="40" xfId="33" applyNumberFormat="1" applyFont="1" applyFill="1" applyBorder="1"/>
    <xf numFmtId="4" fontId="7" fillId="0" borderId="38" xfId="0" applyNumberFormat="1" applyFont="1" applyBorder="1" applyAlignment="1">
      <alignment horizontal="right"/>
    </xf>
    <xf numFmtId="4" fontId="4" fillId="0" borderId="38" xfId="33" applyNumberFormat="1" applyFont="1" applyFill="1" applyBorder="1"/>
    <xf numFmtId="4" fontId="3" fillId="29" borderId="0" xfId="0" applyNumberFormat="1" applyFont="1" applyFill="1"/>
    <xf numFmtId="0" fontId="3" fillId="0" borderId="0" xfId="0" applyFont="1" applyFill="1"/>
    <xf numFmtId="4" fontId="4" fillId="0" borderId="38" xfId="33" applyNumberFormat="1" applyFont="1" applyBorder="1"/>
    <xf numFmtId="4" fontId="95" fillId="0" borderId="40" xfId="74" applyNumberFormat="1" applyFont="1" applyFill="1" applyBorder="1" applyAlignment="1" applyProtection="1">
      <alignment horizontal="right"/>
    </xf>
    <xf numFmtId="4" fontId="95" fillId="0" borderId="40" xfId="73" applyNumberFormat="1" applyFont="1" applyFill="1" applyBorder="1" applyAlignment="1" applyProtection="1">
      <alignment horizontal="right"/>
    </xf>
    <xf numFmtId="0" fontId="0" fillId="0" borderId="0" xfId="72" applyFont="1"/>
    <xf numFmtId="0" fontId="0" fillId="0" borderId="0" xfId="72" applyFont="1" applyAlignment="1">
      <alignment horizontal="right"/>
    </xf>
    <xf numFmtId="0" fontId="7" fillId="0" borderId="0" xfId="72" applyFont="1"/>
    <xf numFmtId="0" fontId="100" fillId="0" borderId="0" xfId="0" applyFont="1" applyAlignment="1">
      <alignment horizontal="right"/>
    </xf>
    <xf numFmtId="0" fontId="100" fillId="0" borderId="0" xfId="0" applyFont="1"/>
    <xf numFmtId="0" fontId="101" fillId="0" borderId="0" xfId="0" applyFont="1" applyAlignment="1">
      <alignment horizontal="right"/>
    </xf>
    <xf numFmtId="0" fontId="100" fillId="0" borderId="0" xfId="0" applyFont="1" applyAlignment="1">
      <alignment horizontal="center"/>
    </xf>
    <xf numFmtId="4" fontId="100" fillId="0" borderId="0" xfId="0" applyNumberFormat="1" applyFont="1" applyAlignment="1">
      <alignment horizontal="right"/>
    </xf>
    <xf numFmtId="4" fontId="100" fillId="0" borderId="0" xfId="0" applyNumberFormat="1" applyFont="1"/>
    <xf numFmtId="4" fontId="100" fillId="0" borderId="16" xfId="72" applyNumberFormat="1" applyFont="1" applyBorder="1"/>
    <xf numFmtId="10" fontId="100" fillId="0" borderId="0" xfId="0" applyNumberFormat="1" applyFont="1" applyAlignment="1">
      <alignment horizontal="right"/>
    </xf>
    <xf numFmtId="39" fontId="90" fillId="0" borderId="0" xfId="72" applyNumberFormat="1" applyFont="1"/>
    <xf numFmtId="0" fontId="100" fillId="0" borderId="0" xfId="0" applyFont="1" applyAlignment="1">
      <alignment horizontal="left" vertical="center" wrapText="1"/>
    </xf>
    <xf numFmtId="0" fontId="100" fillId="0" borderId="0" xfId="0" applyFont="1" applyAlignment="1">
      <alignment horizontal="right" vertical="center" wrapText="1"/>
    </xf>
    <xf numFmtId="0" fontId="89" fillId="0" borderId="0" xfId="0" applyFont="1" applyAlignment="1">
      <alignment horizontal="left" vertical="center" wrapText="1"/>
    </xf>
    <xf numFmtId="0" fontId="89" fillId="0" borderId="0" xfId="0" applyFont="1" applyAlignment="1">
      <alignment horizontal="right" vertical="center" wrapText="1"/>
    </xf>
    <xf numFmtId="4" fontId="76" fillId="0" borderId="0" xfId="72" applyNumberFormat="1" applyFont="1"/>
    <xf numFmtId="4" fontId="76" fillId="0" borderId="0" xfId="72" applyNumberFormat="1" applyFont="1" applyAlignment="1">
      <alignment horizontal="right"/>
    </xf>
    <xf numFmtId="4" fontId="76" fillId="0" borderId="0" xfId="72" applyNumberFormat="1" applyFont="1" applyBorder="1" applyAlignment="1">
      <alignment horizontal="right"/>
    </xf>
    <xf numFmtId="4" fontId="7" fillId="0" borderId="0" xfId="72" applyNumberFormat="1" applyFont="1"/>
    <xf numFmtId="4" fontId="77" fillId="0" borderId="0" xfId="72" applyNumberFormat="1" applyFont="1"/>
    <xf numFmtId="4" fontId="89" fillId="0" borderId="41" xfId="0" applyNumberFormat="1" applyFont="1" applyBorder="1" applyAlignment="1">
      <alignment horizontal="right" vertical="center" wrapText="1"/>
    </xf>
    <xf numFmtId="0" fontId="99" fillId="0" borderId="0" xfId="72" applyFont="1" applyFill="1" applyAlignment="1" applyProtection="1">
      <alignment horizontal="center" vertical="top"/>
    </xf>
    <xf numFmtId="4" fontId="99" fillId="0" borderId="0" xfId="72" applyNumberFormat="1" applyFont="1" applyFill="1" applyAlignment="1" applyProtection="1">
      <alignment horizontal="center" vertical="top"/>
    </xf>
    <xf numFmtId="10" fontId="99" fillId="0" borderId="0" xfId="72" applyNumberFormat="1" applyFont="1" applyFill="1" applyAlignment="1" applyProtection="1">
      <alignment horizontal="center" vertical="top"/>
    </xf>
    <xf numFmtId="0" fontId="4" fillId="0" borderId="0" xfId="72" applyFont="1" applyBorder="1" applyAlignment="1">
      <alignment vertical="top"/>
    </xf>
    <xf numFmtId="0" fontId="93" fillId="0" borderId="0" xfId="72" applyFont="1" applyFill="1" applyAlignment="1" applyProtection="1">
      <alignment horizontal="center" vertical="top"/>
    </xf>
    <xf numFmtId="0" fontId="93" fillId="0" borderId="0" xfId="72" applyFont="1" applyFill="1" applyAlignment="1" applyProtection="1">
      <alignment vertical="top"/>
    </xf>
    <xf numFmtId="4" fontId="93" fillId="0" borderId="0" xfId="72" applyNumberFormat="1" applyFont="1" applyFill="1" applyAlignment="1" applyProtection="1">
      <alignment vertical="top"/>
    </xf>
    <xf numFmtId="10" fontId="93" fillId="0" borderId="0" xfId="72" applyNumberFormat="1" applyFont="1" applyFill="1" applyAlignment="1" applyProtection="1">
      <alignment vertical="top"/>
    </xf>
    <xf numFmtId="0" fontId="99" fillId="0" borderId="0" xfId="72" applyFont="1" applyFill="1" applyAlignment="1" applyProtection="1">
      <alignment horizontal="justify" vertical="top"/>
    </xf>
    <xf numFmtId="0" fontId="99" fillId="0" borderId="0" xfId="72" applyFont="1" applyFill="1" applyAlignment="1" applyProtection="1">
      <alignment horizontal="right" vertical="top"/>
    </xf>
    <xf numFmtId="4" fontId="99" fillId="0" borderId="0" xfId="72" applyNumberFormat="1" applyFont="1" applyFill="1" applyAlignment="1" applyProtection="1">
      <alignment vertical="top"/>
    </xf>
    <xf numFmtId="10" fontId="99" fillId="0" borderId="0" xfId="72" applyNumberFormat="1" applyFont="1" applyFill="1" applyAlignment="1" applyProtection="1">
      <alignment vertical="top"/>
    </xf>
    <xf numFmtId="0" fontId="93" fillId="0" borderId="0" xfId="72" applyFont="1" applyFill="1" applyAlignment="1" applyProtection="1">
      <alignment horizontal="justify" vertical="top"/>
    </xf>
    <xf numFmtId="10" fontId="102" fillId="0" borderId="0" xfId="72" applyNumberFormat="1" applyFont="1" applyFill="1" applyAlignment="1" applyProtection="1">
      <alignment horizontal="center" vertical="top"/>
    </xf>
    <xf numFmtId="4" fontId="93" fillId="0" borderId="0" xfId="72" applyNumberFormat="1" applyFont="1" applyFill="1" applyAlignment="1" applyProtection="1">
      <alignment horizontal="right" vertical="top"/>
    </xf>
    <xf numFmtId="0" fontId="99" fillId="0" borderId="0" xfId="72" applyFont="1" applyFill="1" applyAlignment="1" applyProtection="1">
      <alignment vertical="top"/>
    </xf>
    <xf numFmtId="0" fontId="93" fillId="0" borderId="0" xfId="72" applyFont="1" applyFill="1" applyAlignment="1" applyProtection="1">
      <alignment horizontal="left" vertical="top"/>
    </xf>
    <xf numFmtId="170" fontId="99" fillId="0" borderId="0" xfId="72" applyNumberFormat="1" applyFont="1" applyFill="1" applyAlignment="1" applyProtection="1">
      <alignment horizontal="right" vertical="top"/>
    </xf>
    <xf numFmtId="170" fontId="99" fillId="0" borderId="41" xfId="72" applyNumberFormat="1" applyFont="1" applyFill="1" applyBorder="1" applyAlignment="1" applyProtection="1">
      <alignment vertical="top"/>
    </xf>
    <xf numFmtId="4" fontId="99" fillId="0" borderId="0" xfId="72" applyNumberFormat="1" applyFont="1" applyFill="1" applyBorder="1" applyAlignment="1" applyProtection="1">
      <alignment vertical="top"/>
    </xf>
    <xf numFmtId="10" fontId="99" fillId="0" borderId="41" xfId="72" applyNumberFormat="1" applyFont="1" applyFill="1" applyBorder="1" applyAlignment="1" applyProtection="1">
      <alignment vertical="top"/>
    </xf>
    <xf numFmtId="0" fontId="4" fillId="0" borderId="0" xfId="72" applyFont="1" applyAlignment="1">
      <alignment horizontal="center" vertical="top"/>
    </xf>
    <xf numFmtId="0" fontId="4" fillId="0" borderId="0" xfId="72" applyFont="1" applyAlignment="1">
      <alignment vertical="top"/>
    </xf>
    <xf numFmtId="4" fontId="4" fillId="0" borderId="0" xfId="72" applyNumberFormat="1" applyFont="1" applyAlignment="1">
      <alignment vertical="top"/>
    </xf>
    <xf numFmtId="10" fontId="4" fillId="0" borderId="0" xfId="72" applyNumberFormat="1" applyFont="1" applyAlignment="1">
      <alignment vertical="top"/>
    </xf>
    <xf numFmtId="4" fontId="4" fillId="0" borderId="0" xfId="72" applyNumberFormat="1" applyFont="1" applyBorder="1" applyAlignment="1">
      <alignment vertical="top"/>
    </xf>
    <xf numFmtId="4" fontId="3" fillId="0" borderId="0" xfId="72" applyNumberFormat="1" applyFont="1" applyAlignment="1">
      <alignment horizontal="right" vertical="top"/>
    </xf>
    <xf numFmtId="0" fontId="4" fillId="0" borderId="0" xfId="72" applyFont="1" applyBorder="1" applyAlignment="1">
      <alignment horizontal="center" vertical="top"/>
    </xf>
    <xf numFmtId="10" fontId="4" fillId="0" borderId="0" xfId="72" applyNumberFormat="1" applyFont="1" applyBorder="1" applyAlignment="1">
      <alignment vertical="top"/>
    </xf>
    <xf numFmtId="0" fontId="94" fillId="0" borderId="0" xfId="72" applyFont="1" applyBorder="1" applyAlignment="1" applyProtection="1">
      <alignment horizontal="center" vertical="top"/>
      <protection locked="0"/>
    </xf>
    <xf numFmtId="4" fontId="94" fillId="0" borderId="0" xfId="72" applyNumberFormat="1" applyFont="1" applyBorder="1" applyAlignment="1" applyProtection="1">
      <alignment horizontal="center" vertical="top"/>
      <protection locked="0"/>
    </xf>
    <xf numFmtId="49" fontId="94" fillId="0" borderId="0" xfId="72" applyNumberFormat="1" applyFont="1" applyBorder="1" applyAlignment="1" applyProtection="1">
      <alignment horizontal="center" vertical="top"/>
      <protection locked="0"/>
    </xf>
    <xf numFmtId="4" fontId="94" fillId="0" borderId="0" xfId="72" applyNumberFormat="1" applyFont="1" applyBorder="1" applyAlignment="1" applyProtection="1">
      <alignment horizontal="right" vertical="top"/>
      <protection locked="0"/>
    </xf>
    <xf numFmtId="0" fontId="94" fillId="0" borderId="0" xfId="72" applyFont="1" applyBorder="1" applyAlignment="1" applyProtection="1">
      <alignment horizontal="center" vertical="top" wrapText="1"/>
      <protection locked="0"/>
    </xf>
    <xf numFmtId="0" fontId="11" fillId="0" borderId="0" xfId="72" applyFont="1" applyFill="1" applyBorder="1" applyAlignment="1">
      <alignment horizontal="center" vertical="top" wrapText="1"/>
    </xf>
    <xf numFmtId="0" fontId="7" fillId="0" borderId="0" xfId="72" applyFont="1" applyFill="1" applyBorder="1" applyAlignment="1">
      <alignment horizontal="center" vertical="top"/>
    </xf>
    <xf numFmtId="10" fontId="7" fillId="0" borderId="0" xfId="72" applyNumberFormat="1" applyFont="1" applyFill="1" applyBorder="1" applyAlignment="1">
      <alignment horizontal="center" vertical="top"/>
    </xf>
    <xf numFmtId="0" fontId="7" fillId="0" borderId="0" xfId="72" applyFont="1" applyFill="1" applyBorder="1" applyAlignment="1">
      <alignment vertical="top"/>
    </xf>
    <xf numFmtId="0" fontId="94" fillId="0" borderId="0" xfId="72" applyFont="1" applyAlignment="1" applyProtection="1">
      <alignment horizontal="justify" vertical="top"/>
      <protection locked="0"/>
    </xf>
    <xf numFmtId="4" fontId="94" fillId="0" borderId="0" xfId="72" applyNumberFormat="1" applyFont="1" applyFill="1" applyAlignment="1" applyProtection="1">
      <alignment vertical="top"/>
      <protection locked="0"/>
    </xf>
    <xf numFmtId="49" fontId="94" fillId="0" borderId="0" xfId="72" applyNumberFormat="1" applyFont="1" applyFill="1" applyAlignment="1" applyProtection="1">
      <alignment horizontal="center" vertical="top"/>
      <protection locked="0"/>
    </xf>
    <xf numFmtId="10" fontId="94" fillId="0" borderId="0" xfId="72" applyNumberFormat="1" applyFont="1" applyBorder="1" applyAlignment="1" applyProtection="1">
      <alignment horizontal="center" vertical="top"/>
      <protection locked="0"/>
    </xf>
    <xf numFmtId="10" fontId="11" fillId="0" borderId="0" xfId="72" applyNumberFormat="1" applyFont="1" applyFill="1" applyBorder="1" applyAlignment="1">
      <alignment horizontal="center" vertical="top"/>
    </xf>
    <xf numFmtId="0" fontId="54" fillId="0" borderId="0" xfId="72" applyFont="1" applyAlignment="1" applyProtection="1">
      <alignment horizontal="justify" vertical="top"/>
      <protection locked="0"/>
    </xf>
    <xf numFmtId="4" fontId="54" fillId="0" borderId="0" xfId="72" applyNumberFormat="1" applyFont="1" applyAlignment="1" applyProtection="1">
      <alignment vertical="top"/>
      <protection locked="0"/>
    </xf>
    <xf numFmtId="49" fontId="11" fillId="0" borderId="0" xfId="72" applyNumberFormat="1" applyFont="1" applyFill="1" applyBorder="1" applyAlignment="1">
      <alignment horizontal="center" vertical="top"/>
    </xf>
    <xf numFmtId="4" fontId="54" fillId="0" borderId="0" xfId="72" applyNumberFormat="1" applyFont="1" applyAlignment="1" applyProtection="1">
      <alignment horizontal="right" vertical="top"/>
      <protection locked="0"/>
    </xf>
    <xf numFmtId="4" fontId="54" fillId="0" borderId="0" xfId="72" applyNumberFormat="1" applyFont="1" applyFill="1" applyAlignment="1" applyProtection="1">
      <alignment vertical="top"/>
      <protection locked="0"/>
    </xf>
    <xf numFmtId="0" fontId="54" fillId="0" borderId="0" xfId="72" applyFont="1" applyBorder="1" applyAlignment="1" applyProtection="1">
      <alignment horizontal="justify" vertical="top"/>
      <protection locked="0"/>
    </xf>
    <xf numFmtId="49" fontId="94" fillId="0" borderId="0" xfId="72" applyNumberFormat="1" applyFont="1" applyAlignment="1" applyProtection="1">
      <alignment horizontal="center" vertical="top"/>
      <protection locked="0"/>
    </xf>
    <xf numFmtId="0" fontId="11" fillId="0" borderId="0" xfId="72" applyFont="1" applyFill="1" applyBorder="1" applyAlignment="1">
      <alignment vertical="top"/>
    </xf>
    <xf numFmtId="4" fontId="54" fillId="25" borderId="0" xfId="72" applyNumberFormat="1" applyFont="1" applyFill="1" applyAlignment="1" applyProtection="1">
      <alignment horizontal="right" vertical="top"/>
      <protection locked="0"/>
    </xf>
    <xf numFmtId="0" fontId="94" fillId="0" borderId="0" xfId="72" applyFont="1" applyAlignment="1" applyProtection="1">
      <alignment horizontal="center" vertical="top"/>
      <protection locked="0"/>
    </xf>
    <xf numFmtId="4" fontId="54" fillId="0" borderId="0" xfId="72" applyNumberFormat="1" applyFont="1" applyFill="1" applyAlignment="1" applyProtection="1">
      <alignment horizontal="right" vertical="top"/>
      <protection locked="0"/>
    </xf>
    <xf numFmtId="4" fontId="7" fillId="0" borderId="0" xfId="72" applyNumberFormat="1" applyFont="1" applyFill="1" applyBorder="1" applyAlignment="1">
      <alignment horizontal="center" vertical="top"/>
    </xf>
    <xf numFmtId="0" fontId="7" fillId="0" borderId="0" xfId="72" applyFont="1" applyFill="1" applyBorder="1" applyAlignment="1">
      <alignment horizontal="justify" vertical="top"/>
    </xf>
    <xf numFmtId="10" fontId="7" fillId="0" borderId="0" xfId="72" applyNumberFormat="1" applyFont="1" applyFill="1" applyBorder="1" applyAlignment="1">
      <alignment horizontal="right" vertical="top"/>
    </xf>
    <xf numFmtId="0" fontId="7" fillId="0" borderId="0" xfId="72" applyFont="1" applyAlignment="1">
      <alignment vertical="top"/>
    </xf>
    <xf numFmtId="0" fontId="7" fillId="0" borderId="0" xfId="72" applyFont="1" applyAlignment="1">
      <alignment horizontal="justify" vertical="top"/>
    </xf>
    <xf numFmtId="49" fontId="11" fillId="0" borderId="0" xfId="72" applyNumberFormat="1" applyFont="1" applyAlignment="1">
      <alignment horizontal="center" vertical="top"/>
    </xf>
    <xf numFmtId="4" fontId="11" fillId="0" borderId="0" xfId="72" applyNumberFormat="1" applyFont="1" applyAlignment="1">
      <alignment horizontal="right" vertical="top"/>
    </xf>
    <xf numFmtId="0" fontId="11" fillId="0" borderId="0" xfId="72" applyFont="1" applyFill="1" applyBorder="1" applyAlignment="1">
      <alignment horizontal="justify" vertical="top"/>
    </xf>
    <xf numFmtId="4" fontId="7" fillId="0" borderId="0" xfId="72" applyNumberFormat="1" applyFont="1" applyFill="1" applyBorder="1" applyAlignment="1">
      <alignment vertical="top"/>
    </xf>
    <xf numFmtId="4" fontId="3" fillId="0" borderId="0" xfId="0" applyNumberFormat="1" applyFont="1" applyAlignment="1">
      <alignment horizontal="left"/>
    </xf>
    <xf numFmtId="0" fontId="3" fillId="0" borderId="0" xfId="70" applyFont="1" applyFill="1" applyBorder="1"/>
    <xf numFmtId="0" fontId="4" fillId="0" borderId="0" xfId="72"/>
    <xf numFmtId="0" fontId="4" fillId="0" borderId="0" xfId="72" applyFont="1"/>
    <xf numFmtId="0" fontId="3" fillId="0" borderId="0" xfId="38" applyFont="1" applyBorder="1"/>
    <xf numFmtId="175" fontId="4" fillId="0" borderId="0" xfId="38" applyNumberFormat="1" applyFont="1"/>
    <xf numFmtId="176" fontId="3" fillId="0" borderId="0" xfId="38" applyNumberFormat="1" applyFont="1" applyAlignment="1">
      <alignment horizontal="left"/>
    </xf>
    <xf numFmtId="4" fontId="4" fillId="0" borderId="0" xfId="38" applyNumberFormat="1" applyFont="1" applyBorder="1"/>
    <xf numFmtId="4" fontId="4" fillId="0" borderId="0" xfId="38" applyNumberFormat="1" applyFont="1"/>
    <xf numFmtId="176" fontId="4" fillId="0" borderId="0" xfId="38" applyNumberFormat="1" applyFont="1" applyAlignment="1">
      <alignment horizontal="left"/>
    </xf>
    <xf numFmtId="0" fontId="4" fillId="0" borderId="0" xfId="70" applyFont="1"/>
    <xf numFmtId="10" fontId="4" fillId="0" borderId="0" xfId="70" applyNumberFormat="1" applyFont="1" applyAlignment="1">
      <alignment horizontal="center"/>
    </xf>
    <xf numFmtId="0" fontId="4" fillId="0" borderId="0" xfId="38" applyFont="1"/>
    <xf numFmtId="4" fontId="4" fillId="0" borderId="0" xfId="35" applyNumberFormat="1" applyFont="1" applyFill="1" applyBorder="1" applyAlignment="1" applyProtection="1">
      <alignment horizontal="right"/>
    </xf>
    <xf numFmtId="4" fontId="4" fillId="0" borderId="0" xfId="75" applyNumberFormat="1" applyFont="1" applyFill="1" applyBorder="1" applyAlignment="1" applyProtection="1"/>
    <xf numFmtId="0" fontId="4" fillId="0" borderId="0" xfId="38" applyFont="1" applyAlignment="1">
      <alignment horizontal="left"/>
    </xf>
    <xf numFmtId="49" fontId="55" fillId="0" borderId="0" xfId="72" applyNumberFormat="1" applyFont="1" applyAlignment="1" applyProtection="1">
      <alignment horizontal="center" vertical="top"/>
      <protection locked="0"/>
    </xf>
    <xf numFmtId="4" fontId="4" fillId="0" borderId="0" xfId="70" applyNumberFormat="1" applyFont="1"/>
    <xf numFmtId="0" fontId="14" fillId="0" borderId="0" xfId="38" applyFont="1" applyBorder="1" applyAlignment="1">
      <alignment horizontal="left"/>
    </xf>
    <xf numFmtId="4" fontId="14" fillId="0" borderId="0" xfId="70" applyNumberFormat="1" applyFont="1"/>
    <xf numFmtId="4" fontId="4" fillId="0" borderId="16" xfId="70" applyNumberFormat="1" applyFont="1" applyBorder="1" applyAlignment="1">
      <alignment horizontal="right"/>
    </xf>
    <xf numFmtId="4" fontId="4" fillId="0" borderId="16" xfId="75" applyNumberFormat="1" applyFont="1" applyFill="1" applyBorder="1" applyAlignment="1" applyProtection="1"/>
    <xf numFmtId="4" fontId="4" fillId="0" borderId="0" xfId="70" applyNumberFormat="1" applyFont="1" applyBorder="1"/>
    <xf numFmtId="10" fontId="4" fillId="0" borderId="38" xfId="70" applyNumberFormat="1" applyFont="1" applyBorder="1" applyAlignment="1">
      <alignment horizontal="center"/>
    </xf>
    <xf numFmtId="4" fontId="3" fillId="0" borderId="0" xfId="70" applyNumberFormat="1" applyFont="1" applyBorder="1" applyAlignment="1">
      <alignment horizontal="right"/>
    </xf>
    <xf numFmtId="10" fontId="3" fillId="0" borderId="0" xfId="70" applyNumberFormat="1" applyFont="1" applyAlignment="1">
      <alignment horizontal="center"/>
    </xf>
    <xf numFmtId="4" fontId="4" fillId="0" borderId="0" xfId="38" applyNumberFormat="1" applyFont="1" applyAlignment="1">
      <alignment horizontal="right"/>
    </xf>
    <xf numFmtId="4" fontId="4" fillId="0" borderId="0" xfId="38" applyNumberFormat="1" applyFont="1" applyAlignment="1">
      <alignment horizontal="left"/>
    </xf>
    <xf numFmtId="10" fontId="4" fillId="0" borderId="0" xfId="70" quotePrefix="1" applyNumberFormat="1" applyFont="1" applyAlignment="1">
      <alignment horizontal="center"/>
    </xf>
    <xf numFmtId="4" fontId="4" fillId="0" borderId="16" xfId="38" applyNumberFormat="1" applyFont="1" applyBorder="1" applyAlignment="1">
      <alignment horizontal="right"/>
    </xf>
    <xf numFmtId="175" fontId="4" fillId="0" borderId="0" xfId="38" applyNumberFormat="1" applyFont="1" applyBorder="1" applyAlignment="1">
      <alignment horizontal="center"/>
    </xf>
    <xf numFmtId="0" fontId="3" fillId="0" borderId="0" xfId="70" applyFont="1"/>
    <xf numFmtId="44" fontId="4" fillId="0" borderId="0" xfId="35" applyFont="1" applyFill="1" applyBorder="1" applyAlignment="1" applyProtection="1"/>
    <xf numFmtId="4" fontId="4" fillId="0" borderId="38" xfId="35" applyNumberFormat="1" applyFont="1" applyFill="1" applyBorder="1" applyAlignment="1" applyProtection="1">
      <alignment horizontal="right"/>
    </xf>
    <xf numFmtId="175" fontId="4" fillId="0" borderId="0" xfId="70" applyNumberFormat="1" applyFont="1"/>
    <xf numFmtId="4" fontId="4" fillId="0" borderId="38" xfId="38" applyNumberFormat="1" applyFont="1" applyBorder="1"/>
    <xf numFmtId="4" fontId="4" fillId="0" borderId="0" xfId="70" applyNumberFormat="1" applyFont="1" applyBorder="1" applyAlignment="1">
      <alignment horizontal="right"/>
    </xf>
    <xf numFmtId="4" fontId="4" fillId="0" borderId="0" xfId="70" applyNumberFormat="1" applyFont="1" applyBorder="1" applyAlignment="1">
      <alignment horizontal="left"/>
    </xf>
    <xf numFmtId="10" fontId="4" fillId="0" borderId="38" xfId="70" quotePrefix="1" applyNumberFormat="1" applyFont="1" applyBorder="1" applyAlignment="1">
      <alignment horizontal="center"/>
    </xf>
    <xf numFmtId="175" fontId="4" fillId="0" borderId="0" xfId="70" applyNumberFormat="1" applyFont="1" applyBorder="1"/>
    <xf numFmtId="4" fontId="4" fillId="0" borderId="16" xfId="38" applyNumberFormat="1" applyFont="1" applyBorder="1"/>
    <xf numFmtId="0" fontId="3" fillId="0" borderId="0" xfId="38" applyFont="1" applyAlignment="1">
      <alignment horizontal="left"/>
    </xf>
    <xf numFmtId="4" fontId="3" fillId="0" borderId="0" xfId="70" applyNumberFormat="1" applyFont="1" applyBorder="1" applyAlignment="1">
      <alignment horizontal="left"/>
    </xf>
    <xf numFmtId="175" fontId="4" fillId="0" borderId="0" xfId="38" applyNumberFormat="1" applyFont="1" applyAlignment="1">
      <alignment horizontal="center"/>
    </xf>
    <xf numFmtId="10" fontId="3" fillId="0" borderId="25" xfId="70" applyNumberFormat="1" applyFont="1" applyBorder="1" applyAlignment="1">
      <alignment horizontal="center"/>
    </xf>
    <xf numFmtId="0" fontId="3" fillId="0" borderId="0" xfId="72" applyFont="1" applyFill="1" applyBorder="1" applyAlignment="1">
      <alignment horizontal="justify" vertical="top"/>
    </xf>
    <xf numFmtId="0" fontId="8" fillId="0" borderId="0" xfId="70" applyFont="1"/>
    <xf numFmtId="175" fontId="8" fillId="0" borderId="0" xfId="70" applyNumberFormat="1" applyFont="1"/>
    <xf numFmtId="175" fontId="10" fillId="0" borderId="0" xfId="70" applyNumberFormat="1" applyFont="1"/>
    <xf numFmtId="175" fontId="8" fillId="0" borderId="0" xfId="70" applyNumberFormat="1" applyFont="1" applyAlignment="1">
      <alignment horizontal="center"/>
    </xf>
    <xf numFmtId="0" fontId="8" fillId="0" borderId="0" xfId="70" applyFont="1" applyAlignment="1">
      <alignment horizontal="center"/>
    </xf>
    <xf numFmtId="0" fontId="10" fillId="0" borderId="0" xfId="70" applyFont="1"/>
    <xf numFmtId="4" fontId="10" fillId="0" borderId="0" xfId="70" applyNumberFormat="1" applyFont="1" applyAlignment="1">
      <alignment horizontal="right"/>
    </xf>
    <xf numFmtId="4" fontId="10" fillId="0" borderId="0" xfId="61" applyNumberFormat="1" applyFont="1" applyFill="1" applyBorder="1" applyAlignment="1" applyProtection="1">
      <alignment horizontal="right"/>
    </xf>
    <xf numFmtId="10" fontId="10" fillId="0" borderId="0" xfId="70" applyNumberFormat="1" applyFont="1" applyAlignment="1">
      <alignment horizontal="center"/>
    </xf>
    <xf numFmtId="4" fontId="10" fillId="0" borderId="0" xfId="70" applyNumberFormat="1" applyFont="1"/>
    <xf numFmtId="4" fontId="10" fillId="0" borderId="0" xfId="70" applyNumberFormat="1" applyFont="1" applyBorder="1" applyAlignment="1">
      <alignment horizontal="right"/>
    </xf>
    <xf numFmtId="49" fontId="103" fillId="0" borderId="0" xfId="72" applyNumberFormat="1" applyFont="1" applyAlignment="1" applyProtection="1">
      <alignment horizontal="center" vertical="top"/>
      <protection locked="0"/>
    </xf>
    <xf numFmtId="4" fontId="10" fillId="0" borderId="16" xfId="70" applyNumberFormat="1" applyFont="1" applyBorder="1"/>
    <xf numFmtId="0" fontId="10" fillId="0" borderId="0" xfId="72" applyFont="1"/>
    <xf numFmtId="4" fontId="10" fillId="0" borderId="16" xfId="70" applyNumberFormat="1" applyFont="1" applyBorder="1" applyAlignment="1">
      <alignment horizontal="right"/>
    </xf>
    <xf numFmtId="10" fontId="10" fillId="0" borderId="38" xfId="70" applyNumberFormat="1" applyFont="1" applyBorder="1" applyAlignment="1">
      <alignment horizontal="center"/>
    </xf>
    <xf numFmtId="4" fontId="8" fillId="0" borderId="0" xfId="70" applyNumberFormat="1" applyFont="1" applyFill="1" applyAlignment="1">
      <alignment horizontal="right"/>
    </xf>
    <xf numFmtId="4" fontId="8" fillId="0" borderId="0" xfId="70" applyNumberFormat="1" applyFont="1"/>
    <xf numFmtId="10" fontId="8" fillId="0" borderId="0" xfId="70" applyNumberFormat="1" applyFont="1" applyAlignment="1">
      <alignment horizontal="center"/>
    </xf>
    <xf numFmtId="4" fontId="8" fillId="0" borderId="0" xfId="70" applyNumberFormat="1" applyFont="1" applyAlignment="1">
      <alignment horizontal="right"/>
    </xf>
    <xf numFmtId="4" fontId="10" fillId="0" borderId="0" xfId="76" applyNumberFormat="1" applyFont="1" applyFill="1" applyBorder="1" applyAlignment="1" applyProtection="1">
      <alignment horizontal="right"/>
    </xf>
    <xf numFmtId="4" fontId="52" fillId="0" borderId="0" xfId="70" applyNumberFormat="1" applyFont="1" applyAlignment="1">
      <alignment horizontal="right"/>
    </xf>
    <xf numFmtId="0" fontId="8" fillId="0" borderId="0" xfId="70" applyFont="1" applyBorder="1"/>
    <xf numFmtId="4" fontId="10" fillId="0" borderId="0" xfId="70" applyNumberFormat="1" applyFont="1" applyFill="1" applyBorder="1" applyAlignment="1">
      <alignment horizontal="right"/>
    </xf>
    <xf numFmtId="4" fontId="10" fillId="0" borderId="16" xfId="70" applyNumberFormat="1" applyFont="1" applyFill="1" applyBorder="1" applyAlignment="1">
      <alignment horizontal="right"/>
    </xf>
    <xf numFmtId="4" fontId="8" fillId="0" borderId="0" xfId="70" applyNumberFormat="1" applyFont="1" applyFill="1" applyBorder="1" applyAlignment="1">
      <alignment horizontal="right"/>
    </xf>
    <xf numFmtId="4" fontId="8" fillId="0" borderId="0" xfId="70" applyNumberFormat="1" applyFont="1" applyBorder="1"/>
    <xf numFmtId="4" fontId="10" fillId="0" borderId="0" xfId="70" applyNumberFormat="1" applyFont="1" applyBorder="1"/>
    <xf numFmtId="4" fontId="8" fillId="0" borderId="0" xfId="70" applyNumberFormat="1" applyFont="1" applyBorder="1" applyAlignment="1">
      <alignment horizontal="right"/>
    </xf>
    <xf numFmtId="0" fontId="104" fillId="0" borderId="0" xfId="70" applyFont="1"/>
    <xf numFmtId="0" fontId="105" fillId="0" borderId="0" xfId="70" applyFont="1"/>
    <xf numFmtId="10" fontId="10" fillId="0" borderId="0" xfId="70" applyNumberFormat="1" applyFont="1" applyBorder="1" applyAlignment="1">
      <alignment horizontal="center"/>
    </xf>
    <xf numFmtId="4" fontId="8" fillId="0" borderId="17" xfId="70" applyNumberFormat="1" applyFont="1" applyBorder="1" applyAlignment="1">
      <alignment horizontal="right"/>
    </xf>
    <xf numFmtId="10" fontId="8" fillId="0" borderId="40" xfId="70" applyNumberFormat="1" applyFont="1" applyBorder="1" applyAlignment="1">
      <alignment horizontal="center"/>
    </xf>
    <xf numFmtId="0" fontId="3" fillId="0" borderId="42" xfId="77" applyFont="1" applyBorder="1" applyAlignment="1" applyProtection="1">
      <alignment horizontal="center"/>
      <protection locked="0"/>
    </xf>
    <xf numFmtId="168" fontId="3" fillId="0" borderId="43" xfId="77" applyNumberFormat="1" applyFont="1" applyFill="1" applyBorder="1" applyAlignment="1" applyProtection="1">
      <alignment horizontal="center"/>
      <protection locked="0"/>
    </xf>
    <xf numFmtId="168" fontId="3" fillId="0" borderId="44" xfId="77" applyNumberFormat="1" applyFont="1" applyFill="1" applyBorder="1" applyAlignment="1" applyProtection="1">
      <alignment horizontal="center"/>
      <protection locked="0"/>
    </xf>
    <xf numFmtId="0" fontId="4" fillId="0" borderId="45" xfId="77" applyFont="1" applyBorder="1" applyProtection="1">
      <protection locked="0"/>
    </xf>
    <xf numFmtId="168" fontId="3" fillId="0" borderId="19" xfId="77" applyNumberFormat="1" applyFont="1" applyBorder="1" applyAlignment="1" applyProtection="1">
      <alignment horizontal="center"/>
      <protection locked="0"/>
    </xf>
    <xf numFmtId="168" fontId="3" fillId="0" borderId="46" xfId="77" applyNumberFormat="1" applyFont="1" applyBorder="1" applyAlignment="1" applyProtection="1">
      <alignment horizontal="center"/>
      <protection locked="0"/>
    </xf>
    <xf numFmtId="0" fontId="4" fillId="0" borderId="47" xfId="72" applyFont="1" applyBorder="1"/>
    <xf numFmtId="4" fontId="4" fillId="0" borderId="0" xfId="77" applyNumberFormat="1" applyFont="1" applyBorder="1" applyProtection="1">
      <protection locked="0"/>
    </xf>
    <xf numFmtId="4" fontId="4" fillId="0" borderId="21" xfId="77" applyNumberFormat="1" applyFont="1" applyBorder="1" applyProtection="1">
      <protection locked="0"/>
    </xf>
    <xf numFmtId="0" fontId="4" fillId="0" borderId="47" xfId="77" applyFont="1" applyBorder="1" applyProtection="1">
      <protection locked="0"/>
    </xf>
    <xf numFmtId="4" fontId="4" fillId="0" borderId="0" xfId="77" applyNumberFormat="1" applyFont="1" applyBorder="1" applyAlignment="1" applyProtection="1">
      <alignment horizontal="right"/>
      <protection locked="0"/>
    </xf>
    <xf numFmtId="0" fontId="4" fillId="0" borderId="47" xfId="77" applyFont="1" applyBorder="1" applyAlignment="1" applyProtection="1">
      <alignment horizontal="left"/>
      <protection locked="0"/>
    </xf>
    <xf numFmtId="4" fontId="4" fillId="0" borderId="38" xfId="77" applyNumberFormat="1" applyFont="1" applyBorder="1" applyProtection="1">
      <protection locked="0"/>
    </xf>
    <xf numFmtId="4" fontId="4" fillId="0" borderId="48" xfId="77" applyNumberFormat="1" applyFont="1" applyBorder="1" applyProtection="1">
      <protection locked="0"/>
    </xf>
    <xf numFmtId="0" fontId="3" fillId="0" borderId="31" xfId="77" applyFont="1" applyBorder="1" applyAlignment="1" applyProtection="1">
      <alignment horizontal="center"/>
      <protection locked="0"/>
    </xf>
    <xf numFmtId="4" fontId="3" fillId="0" borderId="36" xfId="77" applyNumberFormat="1" applyFont="1" applyBorder="1" applyProtection="1">
      <protection locked="0"/>
    </xf>
    <xf numFmtId="4" fontId="3" fillId="0" borderId="32" xfId="77" applyNumberFormat="1" applyFont="1" applyBorder="1" applyProtection="1">
      <protection locked="0"/>
    </xf>
    <xf numFmtId="0" fontId="4" fillId="0" borderId="49" xfId="77" applyFont="1" applyBorder="1" applyAlignment="1" applyProtection="1">
      <alignment horizontal="left"/>
      <protection locked="0"/>
    </xf>
    <xf numFmtId="183" fontId="37" fillId="0" borderId="25" xfId="0" applyNumberFormat="1" applyFont="1" applyBorder="1" applyAlignment="1">
      <alignment horizontal="center"/>
    </xf>
    <xf numFmtId="0" fontId="37" fillId="0" borderId="0" xfId="0" applyFont="1" applyAlignment="1">
      <alignment horizontal="center"/>
    </xf>
    <xf numFmtId="0" fontId="15" fillId="0" borderId="0" xfId="0" applyFont="1" applyFill="1"/>
    <xf numFmtId="170" fontId="15" fillId="0" borderId="0" xfId="0" applyNumberFormat="1" applyFont="1" applyFill="1"/>
    <xf numFmtId="0" fontId="106" fillId="0" borderId="0" xfId="0" applyFont="1"/>
    <xf numFmtId="1" fontId="15" fillId="0" borderId="0" xfId="0" applyNumberFormat="1" applyFont="1" applyBorder="1" applyAlignment="1">
      <alignment horizontal="center" vertical="center"/>
    </xf>
    <xf numFmtId="0" fontId="37" fillId="0" borderId="0" xfId="0" applyFont="1" applyBorder="1" applyAlignment="1">
      <alignment horizontal="center"/>
    </xf>
    <xf numFmtId="0" fontId="37" fillId="30" borderId="0" xfId="0" applyFont="1" applyFill="1" applyAlignment="1">
      <alignment horizontal="center"/>
    </xf>
    <xf numFmtId="1" fontId="37" fillId="0" borderId="0" xfId="0" applyNumberFormat="1" applyFont="1" applyBorder="1" applyAlignment="1">
      <alignment horizontal="center" vertical="center"/>
    </xf>
    <xf numFmtId="0" fontId="107" fillId="0" borderId="0" xfId="0" applyFont="1"/>
    <xf numFmtId="0" fontId="37" fillId="0" borderId="0" xfId="0" applyFont="1" applyBorder="1" applyAlignment="1">
      <alignment horizontal="center" vertical="center"/>
    </xf>
    <xf numFmtId="2" fontId="15" fillId="0" borderId="0" xfId="0" applyNumberFormat="1" applyFont="1"/>
    <xf numFmtId="0" fontId="15" fillId="0" borderId="0" xfId="0" applyFont="1" applyAlignment="1">
      <alignment horizontal="center"/>
    </xf>
    <xf numFmtId="4" fontId="107" fillId="0" borderId="0" xfId="0" applyNumberFormat="1" applyFont="1" applyAlignment="1">
      <alignment horizontal="right"/>
    </xf>
    <xf numFmtId="4" fontId="37" fillId="0" borderId="25" xfId="0" applyNumberFormat="1" applyFont="1" applyBorder="1" applyAlignment="1">
      <alignment horizontal="right"/>
    </xf>
    <xf numFmtId="4" fontId="15" fillId="0" borderId="0" xfId="0" applyNumberFormat="1" applyFont="1"/>
    <xf numFmtId="4" fontId="15" fillId="0" borderId="0" xfId="0" applyNumberFormat="1" applyFont="1" applyAlignment="1">
      <alignment horizontal="right"/>
    </xf>
    <xf numFmtId="0" fontId="15" fillId="0" borderId="0" xfId="0" applyFont="1" applyAlignment="1">
      <alignment horizontal="right"/>
    </xf>
    <xf numFmtId="49" fontId="9" fillId="0" borderId="0" xfId="0" applyNumberFormat="1" applyFont="1" applyBorder="1" applyAlignment="1">
      <alignment horizontal="center"/>
    </xf>
    <xf numFmtId="4" fontId="65" fillId="0" borderId="0" xfId="0" applyNumberFormat="1" applyFont="1" applyAlignment="1">
      <alignment horizontal="center"/>
    </xf>
    <xf numFmtId="164" fontId="65" fillId="0" borderId="40" xfId="33" applyFont="1" applyBorder="1"/>
    <xf numFmtId="0" fontId="17" fillId="0" borderId="0" xfId="0" applyFont="1" applyAlignment="1">
      <alignment horizontal="center" wrapText="1"/>
    </xf>
    <xf numFmtId="10" fontId="17" fillId="0" borderId="0" xfId="42" applyNumberFormat="1" applyFont="1" applyBorder="1" applyAlignment="1">
      <alignment horizontal="center"/>
    </xf>
    <xf numFmtId="2" fontId="3" fillId="26" borderId="15" xfId="0" applyNumberFormat="1" applyFont="1" applyFill="1" applyBorder="1" applyAlignment="1">
      <alignment horizontal="center" vertical="center" wrapText="1"/>
    </xf>
    <xf numFmtId="4" fontId="3" fillId="26" borderId="15" xfId="0" applyNumberFormat="1" applyFont="1" applyFill="1" applyBorder="1" applyAlignment="1">
      <alignment horizontal="center" vertical="center" wrapText="1"/>
    </xf>
    <xf numFmtId="4" fontId="3" fillId="26" borderId="0" xfId="0" applyNumberFormat="1" applyFont="1" applyFill="1" applyBorder="1" applyAlignment="1">
      <alignment vertical="center" wrapText="1"/>
    </xf>
    <xf numFmtId="4" fontId="3" fillId="26" borderId="34" xfId="0" applyNumberFormat="1" applyFont="1" applyFill="1" applyBorder="1" applyAlignment="1">
      <alignment horizontal="center" vertical="center" wrapText="1"/>
    </xf>
    <xf numFmtId="0" fontId="56" fillId="0" borderId="0" xfId="0" applyFont="1" applyAlignment="1">
      <alignment horizontal="center"/>
    </xf>
    <xf numFmtId="4" fontId="108" fillId="0" borderId="0" xfId="0" applyNumberFormat="1" applyFont="1"/>
    <xf numFmtId="0" fontId="56" fillId="0" borderId="0" xfId="0" applyFont="1" applyFill="1" applyAlignment="1">
      <alignment horizontal="center"/>
    </xf>
    <xf numFmtId="0" fontId="56" fillId="0" borderId="0" xfId="0" applyFont="1" applyFill="1"/>
    <xf numFmtId="4" fontId="56" fillId="0" borderId="0" xfId="0" applyNumberFormat="1" applyFont="1" applyFill="1"/>
    <xf numFmtId="4" fontId="108" fillId="0" borderId="0" xfId="0" applyNumberFormat="1" applyFont="1" applyFill="1"/>
    <xf numFmtId="4" fontId="59" fillId="0" borderId="0" xfId="0" applyNumberFormat="1" applyFont="1" applyFill="1"/>
    <xf numFmtId="0" fontId="59" fillId="0" borderId="0" xfId="0" applyFont="1" applyFill="1"/>
    <xf numFmtId="0" fontId="0" fillId="0" borderId="0" xfId="0" applyFill="1"/>
    <xf numFmtId="4" fontId="55" fillId="0" borderId="0" xfId="0" applyNumberFormat="1" applyFont="1" applyBorder="1"/>
    <xf numFmtId="4" fontId="55" fillId="0" borderId="0" xfId="0" applyNumberFormat="1" applyFont="1"/>
    <xf numFmtId="4" fontId="55" fillId="0" borderId="15" xfId="0" applyNumberFormat="1" applyFont="1" applyBorder="1"/>
    <xf numFmtId="4" fontId="55" fillId="0" borderId="15" xfId="0" applyNumberFormat="1" applyFont="1" applyBorder="1" applyAlignment="1">
      <alignment horizontal="left"/>
    </xf>
    <xf numFmtId="4" fontId="3" fillId="0" borderId="15" xfId="0" applyNumberFormat="1" applyFont="1" applyBorder="1" applyAlignment="1">
      <alignment horizontal="left"/>
    </xf>
    <xf numFmtId="4" fontId="3" fillId="0" borderId="15" xfId="0" applyNumberFormat="1" applyFont="1" applyBorder="1"/>
    <xf numFmtId="4" fontId="3" fillId="0" borderId="15" xfId="0" applyNumberFormat="1" applyFont="1" applyBorder="1" applyAlignment="1">
      <alignment horizontal="right"/>
    </xf>
    <xf numFmtId="4" fontId="3" fillId="0" borderId="0" xfId="0" applyNumberFormat="1" applyFont="1" applyBorder="1" applyAlignment="1">
      <alignment horizontal="left"/>
    </xf>
    <xf numFmtId="0" fontId="3" fillId="0" borderId="15" xfId="0" applyFont="1" applyBorder="1" applyAlignment="1">
      <alignment horizontal="center"/>
    </xf>
    <xf numFmtId="49" fontId="3" fillId="0" borderId="0" xfId="0" applyNumberFormat="1" applyFont="1" applyAlignment="1">
      <alignment horizontal="right"/>
    </xf>
    <xf numFmtId="49" fontId="3" fillId="0" borderId="0" xfId="0" applyNumberFormat="1" applyFont="1" applyAlignment="1">
      <alignment horizontal="left"/>
    </xf>
    <xf numFmtId="4" fontId="3" fillId="0" borderId="38" xfId="0" applyNumberFormat="1" applyFont="1" applyBorder="1" applyAlignment="1">
      <alignment horizontal="right"/>
    </xf>
    <xf numFmtId="4" fontId="3" fillId="0" borderId="40" xfId="0" applyNumberFormat="1" applyFont="1" applyBorder="1" applyAlignment="1">
      <alignment horizontal="right"/>
    </xf>
    <xf numFmtId="0" fontId="17" fillId="0" borderId="0" xfId="0" applyFont="1" applyAlignment="1">
      <alignment horizontal="center"/>
    </xf>
    <xf numFmtId="4" fontId="3" fillId="0" borderId="0" xfId="0" applyNumberFormat="1" applyFont="1" applyAlignment="1">
      <alignment horizontal="left"/>
    </xf>
    <xf numFmtId="0" fontId="80" fillId="0" borderId="0" xfId="0" applyFont="1" applyBorder="1" applyAlignment="1">
      <alignment horizontal="left"/>
    </xf>
    <xf numFmtId="0" fontId="53" fillId="0" borderId="0" xfId="0" applyFont="1" applyAlignment="1">
      <alignment horizontal="left" wrapText="1"/>
    </xf>
    <xf numFmtId="4" fontId="109" fillId="0" borderId="0" xfId="0" applyNumberFormat="1" applyFont="1"/>
    <xf numFmtId="0" fontId="91" fillId="0" borderId="0" xfId="0" applyFont="1"/>
    <xf numFmtId="4" fontId="109" fillId="0" borderId="0" xfId="0" applyNumberFormat="1" applyFont="1" applyFill="1"/>
    <xf numFmtId="0" fontId="91" fillId="0" borderId="0" xfId="0" applyFont="1" applyFill="1"/>
    <xf numFmtId="0" fontId="109" fillId="0" borderId="0" xfId="0" applyFont="1" applyAlignment="1">
      <alignment horizontal="center"/>
    </xf>
    <xf numFmtId="4" fontId="74" fillId="0" borderId="0" xfId="0" applyNumberFormat="1" applyFont="1"/>
    <xf numFmtId="0" fontId="109" fillId="0" borderId="0" xfId="0" applyFont="1"/>
    <xf numFmtId="4" fontId="109" fillId="0" borderId="0" xfId="0" applyNumberFormat="1" applyFont="1" applyAlignment="1">
      <alignment horizontal="right"/>
    </xf>
    <xf numFmtId="4" fontId="109" fillId="0" borderId="0" xfId="0" applyNumberFormat="1" applyFont="1" applyAlignment="1" applyProtection="1">
      <alignment horizontal="right"/>
    </xf>
    <xf numFmtId="0" fontId="109" fillId="0" borderId="0" xfId="0" applyFont="1" applyAlignment="1">
      <alignment horizontal="center" vertical="center"/>
    </xf>
    <xf numFmtId="0" fontId="109" fillId="0" borderId="0" xfId="0" applyFont="1" applyAlignment="1">
      <alignment vertical="center"/>
    </xf>
    <xf numFmtId="4" fontId="109" fillId="0" borderId="0" xfId="0" applyNumberFormat="1" applyFont="1" applyAlignment="1">
      <alignment vertical="center"/>
    </xf>
    <xf numFmtId="4" fontId="109" fillId="0" borderId="0" xfId="0" applyNumberFormat="1" applyFont="1" applyAlignment="1">
      <alignment horizontal="right" vertical="center"/>
    </xf>
    <xf numFmtId="4" fontId="109" fillId="26" borderId="0" xfId="0" applyNumberFormat="1" applyFont="1" applyFill="1" applyBorder="1"/>
    <xf numFmtId="4" fontId="109" fillId="0" borderId="0" xfId="0" applyNumberFormat="1" applyFont="1" applyBorder="1"/>
    <xf numFmtId="0" fontId="109" fillId="0" borderId="0" xfId="0" applyFont="1" applyBorder="1"/>
    <xf numFmtId="4" fontId="109" fillId="0" borderId="0" xfId="0" applyNumberFormat="1" applyFont="1" applyBorder="1" applyAlignment="1">
      <alignment horizontal="left"/>
    </xf>
    <xf numFmtId="0" fontId="109" fillId="0" borderId="50" xfId="0" applyFont="1" applyBorder="1" applyAlignment="1">
      <alignment horizontal="center"/>
    </xf>
    <xf numFmtId="4" fontId="3" fillId="0" borderId="50" xfId="0" applyNumberFormat="1" applyFont="1" applyBorder="1" applyAlignment="1">
      <alignment horizontal="left"/>
    </xf>
    <xf numFmtId="4" fontId="3" fillId="0" borderId="50" xfId="0" applyNumberFormat="1" applyFont="1" applyBorder="1"/>
    <xf numFmtId="4" fontId="60" fillId="26" borderId="50" xfId="0" applyNumberFormat="1" applyFont="1" applyFill="1" applyBorder="1"/>
    <xf numFmtId="0" fontId="109" fillId="0" borderId="0" xfId="0" applyFont="1" applyBorder="1" applyAlignment="1">
      <alignment horizontal="center"/>
    </xf>
    <xf numFmtId="4" fontId="109" fillId="0" borderId="0" xfId="0" applyNumberFormat="1" applyFont="1" applyBorder="1" applyAlignment="1">
      <alignment horizontal="right"/>
    </xf>
    <xf numFmtId="0" fontId="109" fillId="0" borderId="0" xfId="0" applyFont="1" applyAlignment="1">
      <alignment horizontal="left"/>
    </xf>
    <xf numFmtId="4" fontId="91" fillId="0" borderId="0" xfId="0" applyNumberFormat="1" applyFont="1"/>
    <xf numFmtId="0" fontId="0" fillId="0" borderId="0" xfId="0" applyBorder="1"/>
    <xf numFmtId="0" fontId="77" fillId="0" borderId="0" xfId="0" applyFont="1" applyFill="1" applyBorder="1" applyAlignment="1"/>
    <xf numFmtId="0" fontId="77" fillId="0" borderId="0" xfId="0" applyFont="1" applyAlignment="1">
      <alignment horizontal="center"/>
    </xf>
    <xf numFmtId="4" fontId="77" fillId="0" borderId="0" xfId="0" applyNumberFormat="1" applyFont="1" applyAlignment="1">
      <alignment horizontal="center"/>
    </xf>
    <xf numFmtId="4" fontId="78" fillId="0" borderId="0" xfId="0" applyNumberFormat="1" applyFont="1"/>
    <xf numFmtId="4" fontId="78" fillId="0" borderId="0" xfId="0" applyNumberFormat="1" applyFont="1" applyBorder="1"/>
    <xf numFmtId="4" fontId="78" fillId="0" borderId="39" xfId="0" applyNumberFormat="1" applyFont="1" applyBorder="1"/>
    <xf numFmtId="0" fontId="77" fillId="0" borderId="0" xfId="0" applyFont="1"/>
    <xf numFmtId="4" fontId="77" fillId="0" borderId="40" xfId="0" applyNumberFormat="1" applyFont="1" applyBorder="1"/>
    <xf numFmtId="0" fontId="78" fillId="0" borderId="0" xfId="0" applyFont="1" applyAlignment="1"/>
    <xf numFmtId="49" fontId="78" fillId="0" borderId="0" xfId="0" applyNumberFormat="1" applyFont="1" applyAlignment="1">
      <alignment horizontal="left"/>
    </xf>
    <xf numFmtId="0" fontId="78" fillId="0" borderId="0" xfId="37" applyFont="1"/>
    <xf numFmtId="0" fontId="78" fillId="0" borderId="0" xfId="37" applyFont="1" applyAlignment="1">
      <alignment horizontal="left"/>
    </xf>
    <xf numFmtId="4" fontId="78" fillId="0" borderId="51" xfId="0" applyNumberFormat="1" applyFont="1" applyBorder="1"/>
    <xf numFmtId="0" fontId="0" fillId="0" borderId="0" xfId="37" applyFont="1" applyAlignment="1">
      <alignment horizontal="left"/>
    </xf>
    <xf numFmtId="0" fontId="0" fillId="0" borderId="0" xfId="37" applyFont="1" applyBorder="1"/>
    <xf numFmtId="0" fontId="4" fillId="0" borderId="0" xfId="0" applyFont="1" applyBorder="1" applyAlignment="1">
      <alignment horizontal="left"/>
    </xf>
    <xf numFmtId="49" fontId="18" fillId="0" borderId="0" xfId="0" applyNumberFormat="1" applyFont="1" applyFill="1" applyBorder="1" applyAlignment="1">
      <alignment horizontal="center" vertical="top"/>
    </xf>
    <xf numFmtId="4" fontId="17" fillId="0" borderId="0" xfId="0" applyNumberFormat="1" applyFont="1" applyFill="1" applyBorder="1" applyAlignment="1">
      <alignment horizontal="right" vertical="top"/>
    </xf>
    <xf numFmtId="4" fontId="9" fillId="0" borderId="0" xfId="0" applyNumberFormat="1" applyFont="1" applyFill="1" applyBorder="1" applyAlignment="1">
      <alignment horizontal="right" vertical="top"/>
    </xf>
    <xf numFmtId="4" fontId="91" fillId="0" borderId="0" xfId="0" applyNumberFormat="1" applyFont="1" applyFill="1" applyBorder="1" applyAlignment="1">
      <alignment vertical="top"/>
    </xf>
    <xf numFmtId="49" fontId="17" fillId="0" borderId="0" xfId="0" applyNumberFormat="1" applyFont="1" applyFill="1" applyBorder="1" applyAlignment="1">
      <alignment horizontal="center" vertical="top"/>
    </xf>
    <xf numFmtId="0" fontId="21" fillId="0" borderId="0" xfId="0" applyNumberFormat="1" applyFont="1" applyFill="1" applyBorder="1" applyAlignment="1">
      <alignment vertical="top"/>
    </xf>
    <xf numFmtId="0" fontId="37" fillId="0" borderId="0" xfId="0" applyFont="1"/>
    <xf numFmtId="0" fontId="15" fillId="0" borderId="0" xfId="0" applyFont="1" applyBorder="1"/>
    <xf numFmtId="0" fontId="17" fillId="0" borderId="0" xfId="69" applyFont="1"/>
    <xf numFmtId="4" fontId="17" fillId="0" borderId="0" xfId="69" applyNumberFormat="1" applyFont="1"/>
    <xf numFmtId="0" fontId="9" fillId="0" borderId="0" xfId="69" applyFont="1" applyAlignment="1">
      <alignment horizontal="center"/>
    </xf>
    <xf numFmtId="0" fontId="9" fillId="0" borderId="0" xfId="69" applyFont="1"/>
    <xf numFmtId="4" fontId="9" fillId="0" borderId="0" xfId="69" applyNumberFormat="1" applyFont="1"/>
    <xf numFmtId="10" fontId="9" fillId="0" borderId="0" xfId="0" applyNumberFormat="1" applyFont="1"/>
    <xf numFmtId="4" fontId="9" fillId="0" borderId="38" xfId="69" applyNumberFormat="1" applyFont="1" applyBorder="1"/>
    <xf numFmtId="4" fontId="17" fillId="0" borderId="40" xfId="69" applyNumberFormat="1" applyFont="1" applyBorder="1"/>
    <xf numFmtId="0" fontId="15" fillId="0" borderId="0" xfId="0" applyFont="1" applyBorder="1" applyAlignment="1">
      <alignment horizontal="center"/>
    </xf>
    <xf numFmtId="4" fontId="15" fillId="0" borderId="0" xfId="0" applyNumberFormat="1" applyFont="1" applyBorder="1"/>
    <xf numFmtId="0" fontId="3" fillId="0" borderId="0" xfId="0" applyFont="1" applyBorder="1" applyAlignment="1">
      <alignment horizontal="left"/>
    </xf>
    <xf numFmtId="0" fontId="10" fillId="0" borderId="0" xfId="72" applyFont="1" applyAlignment="1">
      <alignment horizontal="center"/>
    </xf>
    <xf numFmtId="0" fontId="10" fillId="0" borderId="0" xfId="72" applyFont="1" applyFill="1"/>
    <xf numFmtId="0" fontId="8" fillId="0" borderId="52" xfId="64" applyFont="1" applyBorder="1" applyAlignment="1">
      <alignment horizontal="center"/>
    </xf>
    <xf numFmtId="4" fontId="8" fillId="0" borderId="52" xfId="64" applyNumberFormat="1" applyFont="1" applyBorder="1" applyAlignment="1">
      <alignment horizontal="center"/>
    </xf>
    <xf numFmtId="4" fontId="51" fillId="0" borderId="0" xfId="64" applyNumberFormat="1" applyFont="1" applyFill="1" applyAlignment="1">
      <alignment horizontal="right"/>
    </xf>
    <xf numFmtId="4" fontId="52" fillId="0" borderId="0" xfId="64" applyNumberFormat="1" applyFont="1" applyFill="1" applyAlignment="1">
      <alignment horizontal="right"/>
    </xf>
    <xf numFmtId="4" fontId="8" fillId="0" borderId="0" xfId="64" applyNumberFormat="1" applyFont="1" applyFill="1" applyAlignment="1">
      <alignment horizontal="right"/>
    </xf>
    <xf numFmtId="0" fontId="51" fillId="0" borderId="0" xfId="64" applyFont="1" applyFill="1" applyAlignment="1">
      <alignment horizontal="center"/>
    </xf>
    <xf numFmtId="0" fontId="51" fillId="0" borderId="0" xfId="64" applyFont="1" applyFill="1"/>
    <xf numFmtId="4" fontId="51" fillId="0" borderId="0" xfId="64" applyNumberFormat="1" applyFont="1" applyFill="1"/>
    <xf numFmtId="0" fontId="109" fillId="0" borderId="0" xfId="72" applyFont="1"/>
    <xf numFmtId="4" fontId="8" fillId="0" borderId="0" xfId="64" applyNumberFormat="1" applyFont="1" applyFill="1"/>
    <xf numFmtId="4" fontId="8" fillId="0" borderId="24" xfId="64" applyNumberFormat="1" applyFont="1" applyFill="1" applyBorder="1" applyAlignment="1">
      <alignment horizontal="right"/>
    </xf>
    <xf numFmtId="0" fontId="8" fillId="0" borderId="0" xfId="64" applyFont="1" applyAlignment="1">
      <alignment horizontal="left"/>
    </xf>
    <xf numFmtId="4" fontId="10" fillId="0" borderId="0" xfId="72" applyNumberFormat="1" applyFont="1"/>
    <xf numFmtId="49" fontId="78" fillId="0" borderId="0" xfId="0" applyNumberFormat="1" applyFont="1" applyBorder="1" applyAlignment="1">
      <alignment horizontal="center"/>
    </xf>
    <xf numFmtId="0" fontId="77" fillId="0" borderId="53" xfId="0" applyFont="1" applyBorder="1" applyAlignment="1">
      <alignment horizontal="center"/>
    </xf>
    <xf numFmtId="49" fontId="77" fillId="0" borderId="53" xfId="0" applyNumberFormat="1" applyFont="1" applyBorder="1" applyAlignment="1">
      <alignment horizontal="center" wrapText="1"/>
    </xf>
    <xf numFmtId="4" fontId="77" fillId="0" borderId="53" xfId="0" applyNumberFormat="1" applyFont="1" applyBorder="1" applyAlignment="1">
      <alignment horizontal="center" wrapText="1"/>
    </xf>
    <xf numFmtId="49" fontId="77" fillId="0" borderId="0" xfId="0" applyNumberFormat="1" applyFont="1" applyBorder="1" applyAlignment="1">
      <alignment horizontal="center" wrapText="1"/>
    </xf>
    <xf numFmtId="4" fontId="77" fillId="0" borderId="0" xfId="0" applyNumberFormat="1" applyFont="1" applyBorder="1" applyAlignment="1">
      <alignment horizontal="center" wrapText="1"/>
    </xf>
    <xf numFmtId="49" fontId="77" fillId="0" borderId="0" xfId="0" applyNumberFormat="1" applyFont="1" applyBorder="1" applyAlignment="1">
      <alignment horizontal="center"/>
    </xf>
    <xf numFmtId="0" fontId="77" fillId="0" borderId="0" xfId="0" applyFont="1" applyBorder="1"/>
    <xf numFmtId="4" fontId="77" fillId="0" borderId="0" xfId="0" applyNumberFormat="1" applyFont="1" applyBorder="1"/>
    <xf numFmtId="49" fontId="77" fillId="0" borderId="0" xfId="0" applyNumberFormat="1" applyFont="1" applyAlignment="1">
      <alignment horizontal="center"/>
    </xf>
    <xf numFmtId="4" fontId="77" fillId="0" borderId="0" xfId="0" applyNumberFormat="1" applyFont="1"/>
    <xf numFmtId="49" fontId="78" fillId="0" borderId="0" xfId="0" applyNumberFormat="1" applyFont="1" applyAlignment="1">
      <alignment horizontal="center"/>
    </xf>
    <xf numFmtId="4" fontId="77" fillId="0" borderId="54" xfId="0" applyNumberFormat="1" applyFont="1" applyBorder="1"/>
    <xf numFmtId="0" fontId="75" fillId="0" borderId="0" xfId="0" applyFont="1" applyAlignment="1">
      <alignment horizontal="left"/>
    </xf>
    <xf numFmtId="0" fontId="77" fillId="0" borderId="0" xfId="0" applyFont="1" applyAlignment="1">
      <alignment horizontal="left"/>
    </xf>
    <xf numFmtId="0" fontId="76" fillId="0" borderId="0" xfId="0" applyFont="1" applyAlignment="1">
      <alignment horizontal="left"/>
    </xf>
    <xf numFmtId="49" fontId="76" fillId="0" borderId="0" xfId="0" applyNumberFormat="1" applyFont="1" applyAlignment="1">
      <alignment horizontal="center"/>
    </xf>
    <xf numFmtId="4" fontId="76" fillId="0" borderId="0" xfId="0" applyNumberFormat="1" applyFont="1"/>
    <xf numFmtId="0" fontId="53" fillId="0" borderId="55" xfId="0" applyFont="1" applyBorder="1" applyAlignment="1">
      <alignment horizontal="left"/>
    </xf>
    <xf numFmtId="0" fontId="53" fillId="0" borderId="55" xfId="0" applyFont="1" applyBorder="1"/>
    <xf numFmtId="10" fontId="53" fillId="0" borderId="55" xfId="0" applyNumberFormat="1" applyFont="1" applyBorder="1"/>
    <xf numFmtId="0" fontId="80" fillId="0" borderId="38" xfId="0" applyFont="1" applyBorder="1" applyAlignment="1">
      <alignment horizontal="center" wrapText="1"/>
    </xf>
    <xf numFmtId="10" fontId="80" fillId="0" borderId="38" xfId="0" applyNumberFormat="1" applyFont="1" applyBorder="1" applyAlignment="1">
      <alignment horizontal="center" wrapText="1"/>
    </xf>
    <xf numFmtId="0" fontId="53" fillId="0" borderId="0" xfId="0" applyFont="1" applyAlignment="1">
      <alignment horizontal="center" wrapText="1"/>
    </xf>
    <xf numFmtId="10" fontId="53" fillId="0" borderId="0" xfId="0" applyNumberFormat="1" applyFont="1" applyAlignment="1">
      <alignment horizontal="center" wrapText="1"/>
    </xf>
    <xf numFmtId="0" fontId="80" fillId="0" borderId="0" xfId="0" applyFont="1" applyAlignment="1">
      <alignment horizontal="left"/>
    </xf>
    <xf numFmtId="4" fontId="80" fillId="0" borderId="0" xfId="0" applyNumberFormat="1" applyFont="1"/>
    <xf numFmtId="10" fontId="80" fillId="0" borderId="0" xfId="0" applyNumberFormat="1" applyFont="1"/>
    <xf numFmtId="0" fontId="53" fillId="0" borderId="0" xfId="0" applyFont="1" applyAlignment="1">
      <alignment horizontal="left"/>
    </xf>
    <xf numFmtId="4" fontId="53" fillId="0" borderId="0" xfId="0" applyNumberFormat="1" applyFont="1"/>
    <xf numFmtId="4" fontId="80" fillId="0" borderId="54" xfId="0" applyNumberFormat="1" applyFont="1" applyBorder="1"/>
    <xf numFmtId="10" fontId="80" fillId="0" borderId="54" xfId="0" applyNumberFormat="1" applyFont="1" applyBorder="1"/>
    <xf numFmtId="10" fontId="53" fillId="0" borderId="0" xfId="0" applyNumberFormat="1" applyFont="1"/>
    <xf numFmtId="0" fontId="80" fillId="0" borderId="56" xfId="0" applyFont="1" applyBorder="1" applyAlignment="1">
      <alignment horizontal="left"/>
    </xf>
    <xf numFmtId="0" fontId="8" fillId="20" borderId="57" xfId="0" applyFont="1" applyFill="1" applyBorder="1" applyAlignment="1">
      <alignment horizontal="center" vertical="center" wrapText="1"/>
    </xf>
    <xf numFmtId="0" fontId="53" fillId="0" borderId="57" xfId="0" applyFont="1" applyFill="1" applyBorder="1" applyAlignment="1">
      <alignment horizontal="center" vertical="center" wrapText="1"/>
    </xf>
    <xf numFmtId="0" fontId="53" fillId="0" borderId="57" xfId="0" applyFont="1" applyFill="1" applyBorder="1" applyAlignment="1">
      <alignment vertical="center" wrapText="1"/>
    </xf>
    <xf numFmtId="9" fontId="53" fillId="0" borderId="57" xfId="0" applyNumberFormat="1" applyFont="1" applyFill="1" applyBorder="1" applyAlignment="1">
      <alignment horizontal="center" vertical="center" wrapText="1"/>
    </xf>
    <xf numFmtId="170" fontId="53" fillId="31" borderId="57" xfId="0" applyNumberFormat="1" applyFont="1" applyFill="1" applyBorder="1" applyAlignment="1">
      <alignment vertical="center" wrapText="1"/>
    </xf>
    <xf numFmtId="170" fontId="80" fillId="31" borderId="57" xfId="0" applyNumberFormat="1" applyFont="1" applyFill="1" applyBorder="1" applyAlignment="1">
      <alignment vertical="center" wrapText="1"/>
    </xf>
    <xf numFmtId="0" fontId="53" fillId="0" borderId="0" xfId="0" applyFont="1" applyFill="1"/>
    <xf numFmtId="170" fontId="53" fillId="31" borderId="57" xfId="0" applyNumberFormat="1" applyFont="1" applyFill="1" applyBorder="1" applyAlignment="1">
      <alignment horizontal="right" vertical="center" wrapText="1"/>
    </xf>
    <xf numFmtId="0" fontId="53" fillId="0" borderId="57" xfId="0" applyFont="1" applyFill="1" applyBorder="1" applyAlignment="1">
      <alignment horizontal="left" vertical="center" wrapText="1"/>
    </xf>
    <xf numFmtId="170" fontId="53" fillId="31" borderId="0" xfId="0" applyNumberFormat="1" applyFont="1" applyFill="1" applyBorder="1" applyAlignment="1">
      <alignment vertical="center" wrapText="1"/>
    </xf>
    <xf numFmtId="170" fontId="80" fillId="31" borderId="0" xfId="0" applyNumberFormat="1" applyFont="1" applyFill="1" applyBorder="1" applyAlignment="1">
      <alignment vertical="center" wrapText="1"/>
    </xf>
    <xf numFmtId="0" fontId="53" fillId="0" borderId="33" xfId="0" applyFont="1" applyBorder="1" applyAlignment="1">
      <alignment wrapText="1"/>
    </xf>
    <xf numFmtId="0" fontId="80" fillId="28" borderId="58" xfId="0" applyNumberFormat="1" applyFont="1" applyFill="1" applyBorder="1" applyAlignment="1"/>
    <xf numFmtId="0" fontId="80" fillId="28" borderId="59" xfId="0" applyNumberFormat="1" applyFont="1" applyFill="1" applyBorder="1" applyAlignment="1">
      <alignment horizontal="left"/>
    </xf>
    <xf numFmtId="170" fontId="80" fillId="28" borderId="57" xfId="0" applyNumberFormat="1" applyFont="1" applyFill="1" applyBorder="1" applyAlignment="1">
      <alignment horizontal="center"/>
    </xf>
    <xf numFmtId="170" fontId="8" fillId="0" borderId="0" xfId="0" applyNumberFormat="1" applyFont="1" applyFill="1" applyBorder="1" applyAlignment="1">
      <alignment horizontal="center" wrapText="1"/>
    </xf>
    <xf numFmtId="0" fontId="53" fillId="0" borderId="0" xfId="0" applyFont="1" applyFill="1" applyAlignment="1">
      <alignment wrapText="1"/>
    </xf>
    <xf numFmtId="170" fontId="80" fillId="0" borderId="0" xfId="0" applyNumberFormat="1" applyFont="1" applyFill="1" applyBorder="1" applyAlignment="1">
      <alignment horizontal="center"/>
    </xf>
    <xf numFmtId="0" fontId="79" fillId="27" borderId="0" xfId="0" applyFont="1" applyFill="1" applyAlignment="1">
      <alignment horizontal="center" vertical="center"/>
    </xf>
    <xf numFmtId="0" fontId="111" fillId="0" borderId="0" xfId="0" applyNumberFormat="1" applyFont="1" applyFill="1" applyAlignment="1">
      <alignment horizontal="center"/>
    </xf>
    <xf numFmtId="0" fontId="112" fillId="0" borderId="0" xfId="0" applyFont="1" applyFill="1"/>
    <xf numFmtId="0" fontId="111" fillId="0" borderId="0" xfId="0" applyFont="1" applyFill="1"/>
    <xf numFmtId="0" fontId="111" fillId="0" borderId="0" xfId="0" applyFont="1" applyFill="1" applyAlignment="1">
      <alignment horizontal="center"/>
    </xf>
    <xf numFmtId="0" fontId="112" fillId="0" borderId="0" xfId="0" applyFont="1" applyFill="1" applyAlignment="1">
      <alignment horizontal="center"/>
    </xf>
    <xf numFmtId="0" fontId="53" fillId="0" borderId="56" xfId="0" applyFont="1" applyBorder="1"/>
    <xf numFmtId="0" fontId="53" fillId="0" borderId="56" xfId="0" applyFont="1" applyBorder="1" applyAlignment="1">
      <alignment horizontal="center" vertical="center" wrapText="1"/>
    </xf>
    <xf numFmtId="0" fontId="53" fillId="0" borderId="56" xfId="0" applyNumberFormat="1" applyFont="1" applyBorder="1" applyAlignment="1">
      <alignment horizontal="center"/>
    </xf>
    <xf numFmtId="0" fontId="53" fillId="0" borderId="56" xfId="0" applyFont="1" applyBorder="1" applyAlignment="1">
      <alignment horizontal="center"/>
    </xf>
    <xf numFmtId="0" fontId="53" fillId="0" borderId="56" xfId="0" applyFont="1" applyBorder="1" applyAlignment="1">
      <alignment horizontal="left"/>
    </xf>
    <xf numFmtId="0" fontId="10" fillId="0" borderId="57" xfId="0" applyFont="1" applyFill="1" applyBorder="1" applyAlignment="1">
      <alignment horizontal="center" vertical="center" wrapText="1"/>
    </xf>
    <xf numFmtId="0" fontId="10" fillId="0" borderId="57" xfId="0" applyNumberFormat="1" applyFont="1" applyFill="1" applyBorder="1" applyAlignment="1">
      <alignment horizontal="center" vertical="center" wrapText="1"/>
    </xf>
    <xf numFmtId="170" fontId="10" fillId="0" borderId="57" xfId="0" applyNumberFormat="1" applyFont="1" applyFill="1" applyBorder="1" applyAlignment="1">
      <alignment horizontal="right" vertical="center"/>
    </xf>
    <xf numFmtId="170" fontId="10" fillId="0" borderId="57" xfId="0" applyNumberFormat="1" applyFont="1" applyFill="1" applyBorder="1" applyAlignment="1">
      <alignment vertical="center" wrapText="1"/>
    </xf>
    <xf numFmtId="170" fontId="10" fillId="0" borderId="57" xfId="0" applyNumberFormat="1" applyFont="1" applyFill="1" applyBorder="1" applyAlignment="1">
      <alignment horizontal="left" vertical="center" wrapText="1"/>
    </xf>
    <xf numFmtId="0" fontId="10" fillId="0" borderId="57" xfId="0" applyFont="1" applyFill="1" applyBorder="1" applyAlignment="1">
      <alignment vertical="center" wrapText="1"/>
    </xf>
    <xf numFmtId="49" fontId="10" fillId="0" borderId="57" xfId="0" applyNumberFormat="1" applyFont="1" applyFill="1" applyBorder="1" applyAlignment="1">
      <alignment horizontal="center" vertical="center" wrapText="1"/>
    </xf>
    <xf numFmtId="0" fontId="53" fillId="0" borderId="57" xfId="0" applyNumberFormat="1" applyFont="1" applyFill="1" applyBorder="1" applyAlignment="1">
      <alignment horizontal="center" vertical="center" wrapText="1"/>
    </xf>
    <xf numFmtId="169" fontId="53" fillId="0" borderId="57" xfId="0" applyNumberFormat="1" applyFont="1" applyFill="1" applyBorder="1" applyAlignment="1">
      <alignment horizontal="right" vertical="center" wrapText="1"/>
    </xf>
    <xf numFmtId="170" fontId="10" fillId="0" borderId="57" xfId="0" applyNumberFormat="1" applyFont="1" applyFill="1" applyBorder="1" applyAlignment="1">
      <alignment horizontal="center" vertical="center"/>
    </xf>
    <xf numFmtId="0" fontId="53" fillId="0" borderId="0" xfId="0" applyFont="1" applyAlignment="1">
      <alignment horizontal="center" vertical="center" wrapText="1"/>
    </xf>
    <xf numFmtId="0" fontId="53" fillId="0" borderId="0" xfId="0" applyNumberFormat="1" applyFont="1" applyAlignment="1">
      <alignment horizontal="center"/>
    </xf>
    <xf numFmtId="0" fontId="80" fillId="28" borderId="57" xfId="0" applyFont="1" applyFill="1" applyBorder="1" applyAlignment="1">
      <alignment horizontal="center"/>
    </xf>
    <xf numFmtId="0" fontId="8" fillId="28" borderId="57" xfId="0" applyNumberFormat="1" applyFont="1" applyFill="1" applyBorder="1" applyAlignment="1">
      <alignment horizontal="center"/>
    </xf>
    <xf numFmtId="170" fontId="8" fillId="28" borderId="57" xfId="0" applyNumberFormat="1" applyFont="1" applyFill="1" applyBorder="1" applyAlignment="1">
      <alignment horizontal="right"/>
    </xf>
    <xf numFmtId="170" fontId="80" fillId="28" borderId="57" xfId="0" applyNumberFormat="1" applyFont="1" applyFill="1" applyBorder="1" applyAlignment="1">
      <alignment horizontal="right"/>
    </xf>
    <xf numFmtId="0" fontId="53" fillId="0" borderId="0" xfId="0" applyNumberFormat="1" applyFont="1" applyAlignment="1">
      <alignment wrapText="1"/>
    </xf>
    <xf numFmtId="0" fontId="79" fillId="27" borderId="0" xfId="0" applyFont="1" applyFill="1" applyAlignment="1">
      <alignment horizontal="center" vertical="center" wrapText="1"/>
    </xf>
    <xf numFmtId="0" fontId="79" fillId="27" borderId="0" xfId="0" applyFont="1" applyFill="1" applyAlignment="1">
      <alignment wrapText="1"/>
    </xf>
    <xf numFmtId="0" fontId="8" fillId="0" borderId="0" xfId="0" applyNumberFormat="1" applyFont="1" applyFill="1" applyBorder="1" applyAlignment="1">
      <alignment horizontal="center"/>
    </xf>
    <xf numFmtId="0" fontId="8" fillId="28" borderId="57" xfId="0" applyFont="1" applyFill="1" applyBorder="1" applyAlignment="1">
      <alignment horizontal="center" vertical="center" wrapText="1"/>
    </xf>
    <xf numFmtId="0" fontId="8" fillId="28" borderId="57" xfId="0" applyNumberFormat="1" applyFont="1" applyFill="1" applyBorder="1" applyAlignment="1">
      <alignment horizontal="center" vertical="center" wrapText="1"/>
    </xf>
    <xf numFmtId="0" fontId="8" fillId="28" borderId="57" xfId="0" applyFont="1" applyFill="1" applyBorder="1" applyAlignment="1">
      <alignment horizontal="left" vertical="center" wrapText="1"/>
    </xf>
    <xf numFmtId="0" fontId="10" fillId="0" borderId="57" xfId="0" applyNumberFormat="1" applyFont="1" applyFill="1" applyBorder="1" applyAlignment="1">
      <alignment horizontal="center" vertical="center"/>
    </xf>
    <xf numFmtId="49" fontId="10" fillId="0" borderId="57" xfId="0" applyNumberFormat="1" applyFont="1" applyFill="1" applyBorder="1" applyAlignment="1">
      <alignment horizontal="center" vertical="center"/>
    </xf>
    <xf numFmtId="170" fontId="10" fillId="0" borderId="57" xfId="0" applyNumberFormat="1" applyFont="1" applyFill="1" applyBorder="1" applyAlignment="1">
      <alignment horizontal="center" vertical="center" wrapText="1"/>
    </xf>
    <xf numFmtId="169" fontId="8" fillId="28" borderId="57" xfId="0" applyNumberFormat="1" applyFont="1" applyFill="1" applyBorder="1" applyAlignment="1">
      <alignment horizontal="right"/>
    </xf>
    <xf numFmtId="169" fontId="53" fillId="0" borderId="0" xfId="0" applyNumberFormat="1" applyFont="1"/>
    <xf numFmtId="0" fontId="79" fillId="0" borderId="0" xfId="0" applyFont="1" applyFill="1" applyAlignment="1"/>
    <xf numFmtId="0" fontId="80" fillId="0" borderId="60" xfId="0" applyFont="1" applyBorder="1"/>
    <xf numFmtId="0" fontId="53" fillId="0" borderId="60" xfId="0" applyFont="1" applyBorder="1" applyAlignment="1">
      <alignment wrapText="1"/>
    </xf>
    <xf numFmtId="0" fontId="53" fillId="0" borderId="60" xfId="0" applyFont="1" applyBorder="1"/>
    <xf numFmtId="170" fontId="10" fillId="0" borderId="57" xfId="0" applyNumberFormat="1" applyFont="1" applyFill="1" applyBorder="1" applyAlignment="1">
      <alignment vertical="center"/>
    </xf>
    <xf numFmtId="170" fontId="53" fillId="0" borderId="57" xfId="0" applyNumberFormat="1" applyFont="1" applyFill="1" applyBorder="1" applyAlignment="1">
      <alignment horizontal="right" vertical="center" wrapText="1"/>
    </xf>
    <xf numFmtId="10" fontId="53" fillId="0" borderId="57" xfId="0" applyNumberFormat="1" applyFont="1" applyFill="1" applyBorder="1" applyAlignment="1">
      <alignment horizontal="center"/>
    </xf>
    <xf numFmtId="170" fontId="10" fillId="0" borderId="57" xfId="0" applyNumberFormat="1" applyFont="1" applyFill="1" applyBorder="1" applyAlignment="1">
      <alignment horizontal="right" vertical="center" wrapText="1"/>
    </xf>
    <xf numFmtId="170" fontId="53" fillId="0" borderId="57" xfId="0" applyNumberFormat="1" applyFont="1" applyFill="1" applyBorder="1" applyAlignment="1">
      <alignment vertical="center" wrapText="1"/>
    </xf>
    <xf numFmtId="0" fontId="53" fillId="0" borderId="57" xfId="0" applyFont="1" applyFill="1" applyBorder="1"/>
    <xf numFmtId="49" fontId="53" fillId="0" borderId="57" xfId="0" applyNumberFormat="1" applyFont="1" applyFill="1" applyBorder="1" applyAlignment="1">
      <alignment horizontal="center" vertical="center"/>
    </xf>
    <xf numFmtId="170" fontId="53" fillId="0" borderId="57" xfId="0" applyNumberFormat="1" applyFont="1" applyFill="1" applyBorder="1" applyAlignment="1">
      <alignment horizontal="center" vertical="center" wrapText="1"/>
    </xf>
    <xf numFmtId="170" fontId="8" fillId="28" borderId="57" xfId="0" applyNumberFormat="1" applyFont="1" applyFill="1" applyBorder="1" applyAlignment="1">
      <alignment horizontal="center" wrapText="1"/>
    </xf>
    <xf numFmtId="0" fontId="80" fillId="28" borderId="57" xfId="0" applyNumberFormat="1" applyFont="1" applyFill="1" applyBorder="1" applyAlignment="1">
      <alignment horizontal="center"/>
    </xf>
    <xf numFmtId="170" fontId="8" fillId="28" borderId="57" xfId="0" applyNumberFormat="1" applyFont="1" applyFill="1" applyBorder="1" applyAlignment="1">
      <alignment horizontal="center"/>
    </xf>
    <xf numFmtId="170" fontId="80" fillId="28" borderId="57" xfId="0" applyNumberFormat="1" applyFont="1" applyFill="1" applyBorder="1"/>
    <xf numFmtId="170" fontId="8" fillId="0" borderId="0" xfId="0" applyNumberFormat="1" applyFont="1" applyFill="1" applyBorder="1" applyAlignment="1">
      <alignment horizontal="center"/>
    </xf>
    <xf numFmtId="0" fontId="53" fillId="0" borderId="0" xfId="0" applyFont="1" applyFill="1" applyAlignment="1">
      <alignment horizontal="center"/>
    </xf>
    <xf numFmtId="0" fontId="79" fillId="0" borderId="0" xfId="0" applyFont="1" applyFill="1" applyAlignment="1">
      <alignment wrapText="1"/>
    </xf>
    <xf numFmtId="171" fontId="10" fillId="0" borderId="57" xfId="0" applyNumberFormat="1" applyFont="1" applyFill="1" applyBorder="1" applyAlignment="1">
      <alignment horizontal="right" vertical="center"/>
    </xf>
    <xf numFmtId="170" fontId="10" fillId="0" borderId="57" xfId="0" applyNumberFormat="1" applyFont="1" applyFill="1" applyBorder="1" applyAlignment="1">
      <alignment wrapText="1"/>
    </xf>
    <xf numFmtId="0" fontId="53" fillId="0" borderId="57" xfId="0" applyFont="1" applyFill="1" applyBorder="1" applyAlignment="1">
      <alignment horizontal="center" vertical="center"/>
    </xf>
    <xf numFmtId="169" fontId="10" fillId="0" borderId="57" xfId="0" applyNumberFormat="1" applyFont="1" applyFill="1" applyBorder="1" applyAlignment="1">
      <alignment horizontal="right" vertical="center" wrapText="1"/>
    </xf>
    <xf numFmtId="10" fontId="53" fillId="0" borderId="57" xfId="0" applyNumberFormat="1" applyFont="1" applyFill="1" applyBorder="1" applyAlignment="1">
      <alignment horizontal="center" vertical="center"/>
    </xf>
    <xf numFmtId="0" fontId="53" fillId="0" borderId="0" xfId="0" applyFont="1" applyFill="1" applyAlignment="1">
      <alignment vertical="center"/>
    </xf>
    <xf numFmtId="171" fontId="53" fillId="0" borderId="57" xfId="0" applyNumberFormat="1" applyFont="1" applyFill="1" applyBorder="1" applyAlignment="1">
      <alignment horizontal="right" vertical="center"/>
    </xf>
    <xf numFmtId="171" fontId="80" fillId="28" borderId="57" xfId="0" applyNumberFormat="1" applyFont="1" applyFill="1" applyBorder="1"/>
    <xf numFmtId="0" fontId="53" fillId="0" borderId="57" xfId="0" applyFont="1" applyFill="1" applyBorder="1" applyAlignment="1">
      <alignment wrapText="1"/>
    </xf>
    <xf numFmtId="9" fontId="10" fillId="0" borderId="57" xfId="0" applyNumberFormat="1" applyFont="1" applyFill="1" applyBorder="1" applyAlignment="1">
      <alignment horizontal="center" vertical="center" wrapText="1"/>
    </xf>
    <xf numFmtId="10" fontId="10" fillId="0" borderId="57" xfId="0" applyNumberFormat="1" applyFont="1" applyFill="1" applyBorder="1" applyAlignment="1">
      <alignment horizontal="center"/>
    </xf>
    <xf numFmtId="0" fontId="10" fillId="0" borderId="57" xfId="0" applyFont="1" applyFill="1" applyBorder="1" applyAlignment="1">
      <alignment wrapText="1"/>
    </xf>
    <xf numFmtId="0" fontId="10" fillId="0" borderId="57" xfId="0" applyFont="1" applyFill="1" applyBorder="1" applyAlignment="1">
      <alignment horizontal="center" vertical="center"/>
    </xf>
    <xf numFmtId="0" fontId="10" fillId="0" borderId="57" xfId="0" applyNumberFormat="1" applyFont="1" applyFill="1" applyBorder="1" applyAlignment="1">
      <alignment horizontal="left" vertical="center" wrapText="1"/>
    </xf>
    <xf numFmtId="170" fontId="10" fillId="0" borderId="57" xfId="0" applyNumberFormat="1" applyFont="1" applyFill="1" applyBorder="1" applyAlignment="1">
      <alignment horizontal="left" wrapText="1"/>
    </xf>
    <xf numFmtId="49" fontId="53" fillId="0" borderId="57" xfId="0" applyNumberFormat="1" applyFont="1" applyFill="1" applyBorder="1" applyAlignment="1">
      <alignment horizontal="center" vertical="center" wrapText="1"/>
    </xf>
    <xf numFmtId="0" fontId="53" fillId="0" borderId="0" xfId="0" applyFont="1" applyBorder="1" applyAlignment="1">
      <alignment horizontal="left" wrapText="1"/>
    </xf>
    <xf numFmtId="49" fontId="53" fillId="0" borderId="0" xfId="0" applyNumberFormat="1" applyFont="1" applyFill="1" applyBorder="1" applyAlignment="1">
      <alignment horizontal="center" vertical="center" wrapText="1"/>
    </xf>
    <xf numFmtId="49" fontId="53" fillId="0" borderId="0" xfId="0" applyNumberFormat="1" applyFont="1" applyFill="1" applyBorder="1" applyAlignment="1">
      <alignment horizontal="center" vertical="center"/>
    </xf>
    <xf numFmtId="0" fontId="53" fillId="0" borderId="0" xfId="0" applyFont="1" applyFill="1" applyBorder="1" applyAlignment="1">
      <alignment horizontal="center" vertical="center"/>
    </xf>
    <xf numFmtId="170" fontId="53" fillId="0" borderId="0" xfId="0" applyNumberFormat="1" applyFont="1" applyFill="1" applyBorder="1" applyAlignment="1">
      <alignment horizontal="center" vertical="center" wrapText="1"/>
    </xf>
    <xf numFmtId="170" fontId="10" fillId="0" borderId="57" xfId="0" applyNumberFormat="1" applyFont="1" applyFill="1" applyBorder="1" applyAlignment="1">
      <alignment horizontal="left" vertical="center"/>
    </xf>
    <xf numFmtId="0" fontId="53" fillId="0" borderId="57" xfId="0" applyFont="1" applyFill="1" applyBorder="1" applyAlignment="1">
      <alignment horizontal="left" vertical="center"/>
    </xf>
    <xf numFmtId="0" fontId="53" fillId="0" borderId="57" xfId="0" applyNumberFormat="1" applyFont="1" applyFill="1" applyBorder="1" applyAlignment="1">
      <alignment horizontal="center" vertical="center"/>
    </xf>
    <xf numFmtId="170" fontId="53" fillId="0" borderId="57" xfId="0" applyNumberFormat="1" applyFont="1" applyFill="1" applyBorder="1" applyAlignment="1">
      <alignment horizontal="center" vertical="center"/>
    </xf>
    <xf numFmtId="170" fontId="53" fillId="0" borderId="57" xfId="0" applyNumberFormat="1" applyFont="1" applyFill="1" applyBorder="1" applyAlignment="1">
      <alignment horizontal="right" vertical="center"/>
    </xf>
    <xf numFmtId="1" fontId="53" fillId="0" borderId="57" xfId="0" applyNumberFormat="1" applyFont="1" applyFill="1" applyBorder="1" applyAlignment="1">
      <alignment horizontal="center" vertical="center" wrapText="1"/>
    </xf>
    <xf numFmtId="171" fontId="10" fillId="0" borderId="57" xfId="0" applyNumberFormat="1" applyFont="1" applyFill="1" applyBorder="1" applyAlignment="1">
      <alignment horizontal="left" vertical="center"/>
    </xf>
    <xf numFmtId="171" fontId="80" fillId="28" borderId="57" xfId="0" applyNumberFormat="1" applyFont="1" applyFill="1" applyBorder="1" applyAlignment="1">
      <alignment horizontal="right"/>
    </xf>
    <xf numFmtId="49" fontId="10" fillId="0" borderId="57" xfId="19" applyNumberFormat="1" applyFont="1" applyFill="1" applyBorder="1" applyAlignment="1" applyProtection="1">
      <alignment horizontal="center" vertical="center"/>
    </xf>
    <xf numFmtId="10" fontId="10" fillId="0" borderId="57" xfId="0" applyNumberFormat="1" applyFont="1" applyFill="1" applyBorder="1" applyAlignment="1">
      <alignment horizontal="left" vertical="center" wrapText="1"/>
    </xf>
    <xf numFmtId="49" fontId="17" fillId="0" borderId="0" xfId="0" applyNumberFormat="1" applyFont="1" applyAlignment="1">
      <alignment horizontal="center"/>
    </xf>
    <xf numFmtId="49" fontId="9" fillId="0" borderId="0" xfId="0" applyNumberFormat="1" applyFont="1" applyAlignment="1">
      <alignment horizontal="center"/>
    </xf>
    <xf numFmtId="4" fontId="9" fillId="0" borderId="0" xfId="0" applyNumberFormat="1" applyFont="1" applyAlignment="1">
      <alignment horizontal="right"/>
    </xf>
    <xf numFmtId="164" fontId="9" fillId="0" borderId="0" xfId="55" applyNumberFormat="1" applyFont="1"/>
    <xf numFmtId="10" fontId="3" fillId="0" borderId="0" xfId="0" applyNumberFormat="1" applyFont="1" applyAlignment="1">
      <alignment horizontal="center"/>
    </xf>
    <xf numFmtId="164" fontId="9" fillId="0" borderId="55" xfId="55" applyNumberFormat="1" applyFont="1" applyBorder="1"/>
    <xf numFmtId="4" fontId="17" fillId="0" borderId="0" xfId="0" applyNumberFormat="1" applyFont="1" applyAlignment="1">
      <alignment horizontal="right"/>
    </xf>
    <xf numFmtId="164" fontId="17" fillId="0" borderId="0" xfId="0" applyNumberFormat="1" applyFont="1"/>
    <xf numFmtId="0" fontId="115" fillId="0" borderId="0" xfId="0" applyFont="1"/>
    <xf numFmtId="4" fontId="17" fillId="0" borderId="0" xfId="0" applyNumberFormat="1" applyFont="1"/>
    <xf numFmtId="10" fontId="17" fillId="0" borderId="0" xfId="0" applyNumberFormat="1" applyFont="1"/>
    <xf numFmtId="4" fontId="17" fillId="0" borderId="40" xfId="0" applyNumberFormat="1" applyFont="1" applyBorder="1"/>
    <xf numFmtId="49" fontId="3" fillId="18" borderId="53" xfId="33" applyNumberFormat="1" applyFont="1" applyFill="1" applyBorder="1" applyAlignment="1">
      <alignment horizontal="center" vertical="center" wrapText="1"/>
    </xf>
    <xf numFmtId="164" fontId="3" fillId="18" borderId="53" xfId="33" applyFont="1" applyFill="1" applyBorder="1" applyAlignment="1">
      <alignment horizontal="center" vertical="center" wrapText="1"/>
    </xf>
    <xf numFmtId="164" fontId="0" fillId="0" borderId="0" xfId="33" applyFont="1"/>
    <xf numFmtId="164" fontId="0" fillId="0" borderId="0" xfId="33" applyFont="1" applyFill="1"/>
    <xf numFmtId="49" fontId="40" fillId="0" borderId="0" xfId="33" applyNumberFormat="1" applyFont="1" applyAlignment="1">
      <alignment horizontal="center"/>
    </xf>
    <xf numFmtId="164" fontId="40" fillId="0" borderId="0" xfId="33" applyFont="1"/>
    <xf numFmtId="164" fontId="40" fillId="0" borderId="0" xfId="33" applyFont="1" applyFill="1"/>
    <xf numFmtId="49" fontId="40" fillId="0" borderId="0" xfId="33" applyNumberFormat="1" applyFont="1"/>
    <xf numFmtId="4" fontId="40" fillId="0" borderId="55" xfId="0" applyNumberFormat="1" applyFont="1" applyBorder="1"/>
    <xf numFmtId="4" fontId="40" fillId="0" borderId="55" xfId="0" applyNumberFormat="1" applyFont="1" applyBorder="1" applyAlignment="1">
      <alignment horizontal="center"/>
    </xf>
    <xf numFmtId="4" fontId="3" fillId="0" borderId="0" xfId="0" applyNumberFormat="1" applyFont="1" applyAlignment="1"/>
    <xf numFmtId="0" fontId="3" fillId="0" borderId="55" xfId="0" applyFont="1" applyBorder="1" applyAlignment="1">
      <alignment horizontal="center"/>
    </xf>
    <xf numFmtId="4" fontId="3" fillId="18" borderId="53" xfId="0" applyNumberFormat="1" applyFont="1" applyFill="1" applyBorder="1" applyAlignment="1">
      <alignment horizontal="center" vertical="center" wrapText="1"/>
    </xf>
    <xf numFmtId="4" fontId="3" fillId="18" borderId="61" xfId="0" applyNumberFormat="1" applyFont="1" applyFill="1" applyBorder="1" applyAlignment="1">
      <alignment horizontal="center" vertical="center" wrapText="1"/>
    </xf>
    <xf numFmtId="0" fontId="48" fillId="0" borderId="55" xfId="0" applyFont="1" applyBorder="1" applyAlignment="1">
      <alignment horizontal="center"/>
    </xf>
    <xf numFmtId="4" fontId="48" fillId="0" borderId="55" xfId="0" applyNumberFormat="1" applyFont="1" applyBorder="1" applyAlignment="1">
      <alignment horizontal="right"/>
    </xf>
    <xf numFmtId="164" fontId="0" fillId="0" borderId="0" xfId="33" applyFont="1" applyBorder="1"/>
    <xf numFmtId="4" fontId="0" fillId="19" borderId="0" xfId="0" applyNumberFormat="1" applyFill="1" applyBorder="1"/>
    <xf numFmtId="4" fontId="49" fillId="18" borderId="0" xfId="0" applyNumberFormat="1" applyFont="1" applyFill="1" applyBorder="1"/>
    <xf numFmtId="0" fontId="65" fillId="0" borderId="0" xfId="40" applyNumberFormat="1" applyFont="1" applyFill="1" applyAlignment="1" applyProtection="1">
      <alignment horizontal="center" vertical="top"/>
    </xf>
    <xf numFmtId="0" fontId="3" fillId="0" borderId="0" xfId="40" applyNumberFormat="1" applyFont="1" applyFill="1" applyAlignment="1" applyProtection="1">
      <alignment horizontal="center" vertical="top"/>
    </xf>
    <xf numFmtId="0" fontId="69" fillId="0" borderId="0" xfId="40" applyNumberFormat="1" applyFont="1" applyFill="1" applyAlignment="1" applyProtection="1">
      <alignment horizontal="center" vertical="top"/>
    </xf>
    <xf numFmtId="0" fontId="73" fillId="0" borderId="0" xfId="40" applyNumberFormat="1" applyFont="1" applyFill="1" applyAlignment="1" applyProtection="1">
      <alignment horizontal="center" vertical="top"/>
    </xf>
    <xf numFmtId="0" fontId="3" fillId="0" borderId="0" xfId="40" applyNumberFormat="1" applyFont="1" applyFill="1" applyBorder="1" applyAlignment="1" applyProtection="1">
      <alignment horizontal="center" vertical="top"/>
    </xf>
    <xf numFmtId="0" fontId="3" fillId="0" borderId="0" xfId="0" applyNumberFormat="1" applyFont="1" applyFill="1" applyAlignment="1">
      <alignment horizontal="center" vertical="top"/>
    </xf>
    <xf numFmtId="176" fontId="3" fillId="0" borderId="0" xfId="40" applyNumberFormat="1" applyFont="1" applyFill="1" applyAlignment="1" applyProtection="1">
      <alignment horizontal="center" vertical="top"/>
    </xf>
    <xf numFmtId="0" fontId="4" fillId="0" borderId="0" xfId="0" applyFont="1" applyFill="1" applyBorder="1" applyAlignment="1">
      <alignment horizontal="justify" wrapText="1"/>
    </xf>
    <xf numFmtId="0" fontId="3" fillId="0" borderId="55" xfId="0" applyFont="1" applyBorder="1" applyAlignment="1">
      <alignment horizontal="center"/>
    </xf>
    <xf numFmtId="0" fontId="3" fillId="0" borderId="55" xfId="0" applyFont="1" applyBorder="1" applyAlignment="1">
      <alignment horizontal="center" vertical="top"/>
    </xf>
    <xf numFmtId="0" fontId="3" fillId="0" borderId="55" xfId="0" applyFont="1" applyFill="1" applyBorder="1" applyAlignment="1">
      <alignment horizontal="center" vertical="top" wrapText="1"/>
    </xf>
    <xf numFmtId="0" fontId="4" fillId="32" borderId="0" xfId="0" applyFont="1" applyFill="1" applyBorder="1" applyAlignment="1">
      <alignment horizontal="center" vertical="top" wrapText="1"/>
    </xf>
    <xf numFmtId="0" fontId="4" fillId="32" borderId="0" xfId="0" applyFont="1" applyFill="1" applyBorder="1" applyAlignment="1">
      <alignment horizontal="justify" vertical="top" wrapText="1"/>
    </xf>
    <xf numFmtId="4" fontId="4" fillId="32" borderId="0" xfId="0" applyNumberFormat="1" applyFont="1" applyFill="1" applyBorder="1" applyAlignment="1">
      <alignment vertical="top"/>
    </xf>
    <xf numFmtId="4" fontId="4" fillId="32" borderId="0" xfId="0" applyNumberFormat="1" applyFont="1" applyFill="1" applyBorder="1" applyAlignment="1">
      <alignment horizontal="right" vertical="top"/>
    </xf>
    <xf numFmtId="0" fontId="3" fillId="0" borderId="0" xfId="0" applyFont="1" applyBorder="1" applyAlignment="1">
      <alignment vertical="top"/>
    </xf>
    <xf numFmtId="4" fontId="4" fillId="32" borderId="55" xfId="0" applyNumberFormat="1" applyFont="1" applyFill="1" applyBorder="1" applyAlignment="1">
      <alignment vertical="top"/>
    </xf>
    <xf numFmtId="4" fontId="4" fillId="32" borderId="55" xfId="0" applyNumberFormat="1" applyFont="1" applyFill="1" applyBorder="1" applyAlignment="1">
      <alignment horizontal="right" vertical="top"/>
    </xf>
    <xf numFmtId="183" fontId="15" fillId="0" borderId="0" xfId="0" applyNumberFormat="1" applyFont="1" applyAlignment="1">
      <alignment horizontal="center"/>
    </xf>
    <xf numFmtId="2" fontId="3" fillId="18" borderId="62" xfId="51" applyNumberFormat="1" applyFont="1" applyFill="1" applyBorder="1" applyAlignment="1">
      <alignment horizontal="center" vertical="center" wrapText="1"/>
    </xf>
    <xf numFmtId="2" fontId="3" fillId="18" borderId="55" xfId="51" applyNumberFormat="1" applyFont="1" applyFill="1" applyBorder="1" applyAlignment="1">
      <alignment horizontal="center" vertical="center" wrapText="1"/>
    </xf>
    <xf numFmtId="4" fontId="3" fillId="18" borderId="55" xfId="51" applyNumberFormat="1" applyFont="1" applyFill="1" applyBorder="1" applyAlignment="1">
      <alignment horizontal="center" vertical="center" wrapText="1"/>
    </xf>
    <xf numFmtId="4" fontId="3" fillId="18" borderId="63" xfId="51" applyNumberFormat="1" applyFont="1" applyFill="1" applyBorder="1" applyAlignment="1">
      <alignment horizontal="center" vertical="center" wrapText="1"/>
    </xf>
    <xf numFmtId="4" fontId="0" fillId="0" borderId="0" xfId="33" applyNumberFormat="1" applyFont="1"/>
    <xf numFmtId="0" fontId="40" fillId="0" borderId="0" xfId="0" applyFont="1" applyAlignment="1">
      <alignment horizontal="center"/>
    </xf>
    <xf numFmtId="4" fontId="40" fillId="0" borderId="0" xfId="0" applyNumberFormat="1" applyFont="1" applyBorder="1"/>
    <xf numFmtId="4" fontId="40" fillId="0" borderId="0" xfId="33" applyNumberFormat="1" applyFont="1"/>
    <xf numFmtId="0" fontId="40" fillId="0" borderId="0" xfId="0" applyFont="1"/>
    <xf numFmtId="4" fontId="40" fillId="0" borderId="38" xfId="0" applyNumberFormat="1" applyFont="1" applyBorder="1"/>
    <xf numFmtId="4" fontId="40" fillId="0" borderId="40" xfId="0" applyNumberFormat="1" applyFont="1" applyBorder="1"/>
    <xf numFmtId="0" fontId="65" fillId="0" borderId="0" xfId="37" applyNumberFormat="1" applyFont="1" applyFill="1" applyAlignment="1" applyProtection="1">
      <alignment horizontal="center" vertical="top"/>
    </xf>
    <xf numFmtId="0" fontId="17" fillId="0" borderId="0" xfId="0" applyFont="1" applyAlignment="1">
      <alignment horizontal="center"/>
    </xf>
    <xf numFmtId="0" fontId="77" fillId="0" borderId="0" xfId="0" applyFont="1" applyFill="1" applyBorder="1" applyAlignment="1">
      <alignment horizontal="center"/>
    </xf>
    <xf numFmtId="0" fontId="17" fillId="0" borderId="0" xfId="69" applyFont="1" applyAlignment="1">
      <alignment horizontal="center"/>
    </xf>
    <xf numFmtId="0" fontId="78" fillId="0" borderId="0" xfId="72" applyFont="1" applyAlignment="1">
      <alignment horizontal="justify" vertical="top"/>
    </xf>
    <xf numFmtId="43" fontId="39" fillId="0" borderId="0" xfId="40" applyNumberFormat="1" applyFont="1" applyFill="1" applyAlignment="1"/>
    <xf numFmtId="4" fontId="96" fillId="0" borderId="0" xfId="74" applyNumberFormat="1" applyFont="1" applyFill="1" applyBorder="1" applyAlignment="1" applyProtection="1">
      <alignment horizontal="right"/>
    </xf>
    <xf numFmtId="4" fontId="96" fillId="0" borderId="0" xfId="72" applyNumberFormat="1" applyFont="1" applyFill="1" applyBorder="1" applyAlignment="1" applyProtection="1">
      <alignment horizontal="left"/>
    </xf>
    <xf numFmtId="4" fontId="96" fillId="0" borderId="0" xfId="73" applyNumberFormat="1" applyFont="1" applyFill="1" applyBorder="1" applyAlignment="1" applyProtection="1">
      <alignment horizontal="right"/>
    </xf>
    <xf numFmtId="0" fontId="37" fillId="0" borderId="0" xfId="0" applyFont="1" applyAlignment="1">
      <alignment horizontal="center"/>
    </xf>
    <xf numFmtId="0" fontId="3" fillId="0" borderId="0" xfId="72" applyFont="1" applyAlignment="1">
      <alignment horizontal="center"/>
    </xf>
    <xf numFmtId="4" fontId="3" fillId="0" borderId="0" xfId="38" applyNumberFormat="1" applyFont="1" applyBorder="1" applyAlignment="1">
      <alignment horizontal="center" wrapText="1"/>
    </xf>
    <xf numFmtId="0" fontId="3" fillId="0" borderId="53" xfId="0" applyFont="1" applyFill="1" applyBorder="1" applyAlignment="1">
      <alignment horizontal="center" vertical="top" wrapText="1"/>
    </xf>
    <xf numFmtId="0" fontId="4" fillId="32" borderId="55" xfId="0" applyFont="1" applyFill="1" applyBorder="1" applyAlignment="1">
      <alignment horizontal="center" vertical="top" wrapText="1"/>
    </xf>
    <xf numFmtId="0" fontId="4" fillId="32" borderId="55" xfId="0" applyFont="1" applyFill="1" applyBorder="1" applyAlignment="1">
      <alignment horizontal="justify" vertical="top" wrapText="1"/>
    </xf>
    <xf numFmtId="4" fontId="3" fillId="32" borderId="53" xfId="0" applyNumberFormat="1" applyFont="1" applyFill="1" applyBorder="1" applyAlignment="1">
      <alignment vertical="top"/>
    </xf>
    <xf numFmtId="4" fontId="3" fillId="0" borderId="53" xfId="0" applyNumberFormat="1" applyFont="1" applyBorder="1" applyAlignment="1">
      <alignment vertical="top"/>
    </xf>
    <xf numFmtId="0" fontId="17" fillId="0" borderId="54" xfId="72" applyNumberFormat="1" applyFont="1" applyBorder="1" applyAlignment="1">
      <alignment horizontal="center"/>
    </xf>
    <xf numFmtId="10" fontId="96" fillId="0" borderId="0" xfId="74" applyNumberFormat="1" applyFont="1" applyFill="1" applyBorder="1" applyAlignment="1" applyProtection="1">
      <alignment horizontal="right"/>
    </xf>
    <xf numFmtId="10" fontId="97" fillId="0" borderId="0" xfId="72" applyNumberFormat="1" applyFont="1" applyFill="1" applyAlignment="1" applyProtection="1">
      <alignment horizontal="right"/>
    </xf>
    <xf numFmtId="0" fontId="17" fillId="0" borderId="0" xfId="0" applyFont="1" applyFill="1" applyAlignment="1">
      <alignment horizontal="center" wrapText="1"/>
    </xf>
    <xf numFmtId="4" fontId="77" fillId="0" borderId="0" xfId="0" applyNumberFormat="1" applyFont="1" applyFill="1" applyAlignment="1">
      <alignment horizontal="center"/>
    </xf>
    <xf numFmtId="10" fontId="0" fillId="0" borderId="0" xfId="0" applyNumberFormat="1" applyFill="1"/>
    <xf numFmtId="10" fontId="0" fillId="0" borderId="38" xfId="0" applyNumberFormat="1" applyFill="1" applyBorder="1"/>
    <xf numFmtId="10" fontId="3" fillId="0" borderId="40" xfId="0" applyNumberFormat="1" applyFont="1" applyFill="1" applyBorder="1"/>
    <xf numFmtId="0" fontId="78" fillId="0" borderId="0" xfId="0" applyFont="1" applyFill="1"/>
    <xf numFmtId="4" fontId="78" fillId="0" borderId="0" xfId="0" applyNumberFormat="1" applyFont="1" applyFill="1"/>
    <xf numFmtId="0" fontId="0" fillId="0" borderId="0" xfId="0" applyFill="1" applyBorder="1"/>
    <xf numFmtId="0" fontId="17" fillId="0" borderId="0" xfId="0" applyFont="1" applyFill="1"/>
    <xf numFmtId="0" fontId="9" fillId="0" borderId="0" xfId="0" applyFont="1" applyFill="1"/>
    <xf numFmtId="10" fontId="9" fillId="0" borderId="0" xfId="0" applyNumberFormat="1" applyFont="1" applyFill="1"/>
    <xf numFmtId="10" fontId="9" fillId="0" borderId="38" xfId="0" applyNumberFormat="1" applyFont="1" applyFill="1" applyBorder="1"/>
    <xf numFmtId="10" fontId="17" fillId="0" borderId="40" xfId="0" applyNumberFormat="1" applyFont="1" applyFill="1" applyBorder="1"/>
    <xf numFmtId="4" fontId="9" fillId="0" borderId="0" xfId="69" applyNumberFormat="1" applyFont="1" applyFill="1"/>
    <xf numFmtId="0" fontId="15" fillId="0" borderId="0" xfId="0" applyFont="1" applyFill="1" applyBorder="1"/>
    <xf numFmtId="0" fontId="9" fillId="0" borderId="0" xfId="40" applyFont="1" applyFill="1" applyBorder="1"/>
    <xf numFmtId="0" fontId="15" fillId="0" borderId="0" xfId="0" applyFont="1" applyAlignment="1">
      <alignment horizontal="left"/>
    </xf>
    <xf numFmtId="0" fontId="107" fillId="0" borderId="0" xfId="0" applyFont="1" applyAlignment="1">
      <alignment horizontal="left"/>
    </xf>
    <xf numFmtId="164" fontId="9" fillId="0" borderId="0" xfId="55" applyNumberFormat="1" applyFont="1"/>
    <xf numFmtId="164" fontId="9" fillId="0" borderId="55" xfId="55" applyNumberFormat="1" applyFont="1" applyBorder="1"/>
    <xf numFmtId="0" fontId="17" fillId="0" borderId="0" xfId="0" applyFont="1" applyAlignment="1">
      <alignment vertical="justify"/>
    </xf>
    <xf numFmtId="4" fontId="65" fillId="0" borderId="0" xfId="0" applyNumberFormat="1" applyFont="1" applyAlignment="1">
      <alignment vertical="top"/>
    </xf>
    <xf numFmtId="0" fontId="131" fillId="0" borderId="0" xfId="0" applyFont="1" applyBorder="1" applyAlignment="1">
      <alignment horizontal="center"/>
    </xf>
    <xf numFmtId="49" fontId="4" fillId="0" borderId="0" xfId="0" applyNumberFormat="1" applyFont="1" applyBorder="1" applyAlignment="1">
      <alignment horizontal="center"/>
    </xf>
    <xf numFmtId="4" fontId="95" fillId="0" borderId="64" xfId="73" applyNumberFormat="1" applyFont="1" applyFill="1" applyBorder="1" applyAlignment="1" applyProtection="1">
      <alignment horizontal="right" vertical="top"/>
    </xf>
    <xf numFmtId="10" fontId="95" fillId="0" borderId="0" xfId="37" applyNumberFormat="1" applyFont="1" applyFill="1" applyAlignment="1" applyProtection="1">
      <alignment horizontal="right" vertical="top"/>
    </xf>
    <xf numFmtId="4" fontId="96" fillId="0" borderId="0" xfId="37" applyNumberFormat="1" applyFont="1" applyFill="1" applyAlignment="1" applyProtection="1">
      <alignment horizontal="right" vertical="top"/>
    </xf>
    <xf numFmtId="0" fontId="17" fillId="0" borderId="0" xfId="40" applyFont="1" applyAlignment="1">
      <alignment horizontal="center"/>
    </xf>
    <xf numFmtId="0" fontId="75" fillId="0" borderId="54" xfId="0" applyFont="1" applyBorder="1" applyAlignment="1">
      <alignment horizontal="center"/>
    </xf>
    <xf numFmtId="0" fontId="56" fillId="0" borderId="0" xfId="72" applyFont="1" applyFill="1" applyAlignment="1">
      <alignment horizontal="justify" vertical="top"/>
    </xf>
    <xf numFmtId="0" fontId="56" fillId="0" borderId="0" xfId="72" applyFont="1" applyAlignment="1">
      <alignment horizontal="justify" vertical="top"/>
    </xf>
    <xf numFmtId="0" fontId="65" fillId="0" borderId="0" xfId="37" applyNumberFormat="1" applyFont="1" applyFill="1" applyAlignment="1" applyProtection="1">
      <alignment horizontal="center" vertical="top"/>
    </xf>
    <xf numFmtId="0" fontId="17" fillId="0" borderId="0" xfId="0" applyFont="1" applyAlignment="1">
      <alignment horizontal="center"/>
    </xf>
    <xf numFmtId="0" fontId="17" fillId="0" borderId="0" xfId="0" applyFont="1" applyBorder="1" applyAlignment="1">
      <alignment horizontal="center"/>
    </xf>
    <xf numFmtId="0" fontId="4" fillId="0" borderId="0" xfId="0" applyFont="1" applyAlignment="1">
      <alignment horizontal="justify" vertical="top"/>
    </xf>
    <xf numFmtId="0" fontId="87" fillId="0" borderId="0" xfId="0" applyFont="1" applyFill="1" applyBorder="1" applyAlignment="1">
      <alignment horizontal="center" vertical="top"/>
    </xf>
    <xf numFmtId="0" fontId="56" fillId="0" borderId="0" xfId="0" applyFont="1" applyAlignment="1">
      <alignment horizontal="justify" vertical="top"/>
    </xf>
    <xf numFmtId="0" fontId="78" fillId="0" borderId="0" xfId="72" applyFont="1" applyAlignment="1">
      <alignment horizontal="justify" vertical="top"/>
    </xf>
    <xf numFmtId="0" fontId="77" fillId="0" borderId="0" xfId="0" applyFont="1" applyFill="1" applyBorder="1" applyAlignment="1">
      <alignment horizontal="center"/>
    </xf>
    <xf numFmtId="0" fontId="17" fillId="0" borderId="0" xfId="69" applyFont="1" applyAlignment="1">
      <alignment horizontal="center"/>
    </xf>
    <xf numFmtId="0" fontId="99" fillId="0" borderId="0" xfId="72" applyFont="1" applyFill="1" applyAlignment="1" applyProtection="1">
      <alignment horizontal="left" vertical="top"/>
    </xf>
    <xf numFmtId="0" fontId="3" fillId="0" borderId="0" xfId="72" applyFont="1" applyBorder="1" applyAlignment="1">
      <alignment horizontal="center" vertical="top" wrapText="1"/>
    </xf>
    <xf numFmtId="0" fontId="8" fillId="0" borderId="0" xfId="72" applyFont="1" applyFill="1" applyBorder="1" applyAlignment="1">
      <alignment horizontal="center" vertical="top" wrapText="1"/>
    </xf>
    <xf numFmtId="0" fontId="8" fillId="0" borderId="0" xfId="72" applyFont="1" applyFill="1" applyBorder="1" applyAlignment="1">
      <alignment horizontal="center" vertical="top"/>
    </xf>
    <xf numFmtId="0" fontId="7" fillId="0" borderId="0" xfId="72" applyFont="1" applyFill="1" applyBorder="1" applyAlignment="1">
      <alignment horizontal="left" vertical="top"/>
    </xf>
    <xf numFmtId="0" fontId="55" fillId="0" borderId="22" xfId="40" applyNumberFormat="1" applyFont="1" applyFill="1" applyBorder="1" applyAlignment="1" applyProtection="1">
      <alignment horizontal="center" vertical="top"/>
    </xf>
    <xf numFmtId="0" fontId="55" fillId="0" borderId="30" xfId="40" applyNumberFormat="1" applyFont="1" applyFill="1" applyBorder="1" applyAlignment="1" applyProtection="1">
      <alignment horizontal="center" vertical="top"/>
    </xf>
    <xf numFmtId="0" fontId="65" fillId="0" borderId="0" xfId="40" applyNumberFormat="1" applyFont="1" applyFill="1" applyAlignment="1" applyProtection="1">
      <alignment horizontal="center" vertical="top"/>
    </xf>
    <xf numFmtId="0" fontId="4" fillId="0" borderId="0" xfId="38" applyFont="1" applyAlignment="1">
      <alignment horizontal="justify" vertical="top" wrapText="1"/>
    </xf>
    <xf numFmtId="0" fontId="4" fillId="0" borderId="0" xfId="38" applyFont="1" applyAlignment="1">
      <alignment horizontal="left" wrapText="1"/>
    </xf>
    <xf numFmtId="0" fontId="4" fillId="0" borderId="0" xfId="0" applyFont="1" applyFill="1" applyBorder="1" applyAlignment="1">
      <alignment horizontal="justify" wrapText="1"/>
    </xf>
    <xf numFmtId="0" fontId="3" fillId="0" borderId="0" xfId="0" applyFont="1" applyBorder="1" applyAlignment="1">
      <alignment horizontal="center" vertical="top"/>
    </xf>
    <xf numFmtId="0" fontId="3" fillId="0" borderId="53" xfId="0" applyFont="1" applyFill="1" applyBorder="1" applyAlignment="1">
      <alignment horizontal="left" vertical="top" wrapText="1"/>
    </xf>
    <xf numFmtId="0" fontId="3" fillId="0" borderId="0" xfId="0" applyFont="1" applyFill="1" applyBorder="1" applyAlignment="1">
      <alignment horizontal="left" vertical="top" wrapText="1"/>
    </xf>
    <xf numFmtId="0" fontId="37" fillId="0" borderId="0" xfId="0" applyFont="1" applyBorder="1" applyAlignment="1">
      <alignment horizontal="center" vertical="center"/>
    </xf>
    <xf numFmtId="0" fontId="37" fillId="0" borderId="0" xfId="0" applyFont="1" applyBorder="1" applyAlignment="1">
      <alignment horizontal="center"/>
    </xf>
    <xf numFmtId="0" fontId="37" fillId="0" borderId="0" xfId="0" applyFont="1" applyAlignment="1">
      <alignment horizontal="center" vertical="center"/>
    </xf>
    <xf numFmtId="0" fontId="9" fillId="0" borderId="0" xfId="0" applyFont="1" applyAlignment="1">
      <alignment horizontal="justify" vertical="top"/>
    </xf>
    <xf numFmtId="0" fontId="37" fillId="30" borderId="0" xfId="0" applyFont="1" applyFill="1" applyAlignment="1">
      <alignment horizontal="center"/>
    </xf>
    <xf numFmtId="0" fontId="15" fillId="0" borderId="0" xfId="0" applyFont="1" applyAlignment="1">
      <alignment horizontal="left"/>
    </xf>
    <xf numFmtId="0" fontId="84" fillId="0" borderId="0" xfId="0" applyFont="1" applyBorder="1" applyAlignment="1">
      <alignment horizontal="center"/>
    </xf>
    <xf numFmtId="0" fontId="65" fillId="0" borderId="0" xfId="0" applyFont="1" applyBorder="1" applyAlignment="1">
      <alignment horizontal="center"/>
    </xf>
    <xf numFmtId="0" fontId="3" fillId="0" borderId="15" xfId="0" applyFont="1" applyBorder="1" applyAlignment="1">
      <alignment horizontal="center"/>
    </xf>
    <xf numFmtId="4" fontId="3" fillId="0" borderId="15" xfId="0" applyNumberFormat="1" applyFont="1" applyBorder="1" applyAlignment="1">
      <alignment horizontal="center"/>
    </xf>
    <xf numFmtId="0" fontId="114" fillId="0" borderId="0" xfId="0" applyFont="1" applyBorder="1" applyAlignment="1">
      <alignment horizontal="center"/>
    </xf>
    <xf numFmtId="0" fontId="37" fillId="0" borderId="0" xfId="0" applyFont="1" applyAlignment="1">
      <alignment horizontal="center"/>
    </xf>
    <xf numFmtId="0" fontId="113" fillId="0" borderId="0" xfId="0" applyFont="1" applyAlignment="1">
      <alignment horizontal="center"/>
    </xf>
    <xf numFmtId="4" fontId="3" fillId="0" borderId="55" xfId="0" applyNumberFormat="1" applyFont="1" applyBorder="1" applyAlignment="1">
      <alignment horizontal="center"/>
    </xf>
    <xf numFmtId="0" fontId="3" fillId="0" borderId="55" xfId="0" applyFont="1" applyBorder="1" applyAlignment="1">
      <alignment horizontal="center"/>
    </xf>
    <xf numFmtId="4" fontId="40" fillId="0" borderId="0" xfId="0" applyNumberFormat="1" applyFont="1" applyBorder="1" applyAlignment="1">
      <alignment horizontal="center"/>
    </xf>
    <xf numFmtId="4" fontId="47" fillId="0" borderId="0" xfId="0" applyNumberFormat="1" applyFont="1" applyBorder="1" applyAlignment="1">
      <alignment horizontal="center"/>
    </xf>
    <xf numFmtId="4" fontId="3" fillId="0" borderId="0" xfId="0" applyNumberFormat="1" applyFont="1" applyAlignment="1">
      <alignment horizontal="left"/>
    </xf>
    <xf numFmtId="4" fontId="8" fillId="0" borderId="0" xfId="0" applyNumberFormat="1" applyFont="1" applyAlignment="1">
      <alignment horizontal="left"/>
    </xf>
    <xf numFmtId="4" fontId="3" fillId="0" borderId="0" xfId="0" applyNumberFormat="1" applyFont="1" applyBorder="1" applyAlignment="1">
      <alignment horizontal="left"/>
    </xf>
    <xf numFmtId="0" fontId="8" fillId="0" borderId="24" xfId="64" applyFont="1" applyBorder="1" applyAlignment="1">
      <alignment horizontal="center"/>
    </xf>
    <xf numFmtId="0" fontId="8" fillId="0" borderId="0" xfId="64" applyFont="1" applyAlignment="1">
      <alignment horizontal="left" wrapText="1"/>
    </xf>
    <xf numFmtId="0" fontId="10" fillId="0" borderId="0" xfId="64" applyFont="1" applyAlignment="1">
      <alignment horizontal="left"/>
    </xf>
    <xf numFmtId="0" fontId="77" fillId="0" borderId="54" xfId="0" applyFont="1" applyBorder="1" applyAlignment="1">
      <alignment horizontal="center"/>
    </xf>
    <xf numFmtId="0" fontId="80" fillId="0" borderId="54" xfId="0" applyFont="1" applyBorder="1" applyAlignment="1">
      <alignment horizontal="center"/>
    </xf>
    <xf numFmtId="0" fontId="80" fillId="28" borderId="0" xfId="0" applyFont="1" applyFill="1" applyAlignment="1">
      <alignment horizontal="center" vertical="center"/>
    </xf>
    <xf numFmtId="0" fontId="79" fillId="27" borderId="0" xfId="0" applyFont="1" applyFill="1" applyAlignment="1">
      <alignment horizontal="left"/>
    </xf>
    <xf numFmtId="0" fontId="53" fillId="0" borderId="0" xfId="0" applyFont="1" applyFill="1" applyBorder="1" applyAlignment="1">
      <alignment horizontal="left"/>
    </xf>
    <xf numFmtId="0" fontId="8" fillId="20" borderId="57" xfId="0" applyFont="1" applyFill="1" applyBorder="1" applyAlignment="1">
      <alignment horizontal="center" vertical="center" wrapText="1"/>
    </xf>
    <xf numFmtId="170" fontId="8" fillId="28" borderId="57" xfId="0" applyNumberFormat="1" applyFont="1" applyFill="1" applyBorder="1" applyAlignment="1">
      <alignment horizontal="center" wrapText="1"/>
    </xf>
    <xf numFmtId="0" fontId="3" fillId="20" borderId="57" xfId="0" applyFont="1" applyFill="1" applyBorder="1" applyAlignment="1">
      <alignment horizontal="center" vertical="center" wrapText="1"/>
    </xf>
    <xf numFmtId="0" fontId="53" fillId="0" borderId="57" xfId="0" applyFont="1" applyFill="1" applyBorder="1" applyAlignment="1">
      <alignment horizontal="center" vertical="center" wrapText="1"/>
    </xf>
    <xf numFmtId="0" fontId="53" fillId="0" borderId="57" xfId="0" applyNumberFormat="1" applyFont="1" applyFill="1" applyBorder="1" applyAlignment="1">
      <alignment horizontal="center" vertical="center" wrapText="1"/>
    </xf>
    <xf numFmtId="169" fontId="53" fillId="0" borderId="57" xfId="0" applyNumberFormat="1" applyFont="1" applyFill="1" applyBorder="1" applyAlignment="1">
      <alignment horizontal="right" vertical="center" wrapText="1"/>
    </xf>
    <xf numFmtId="171" fontId="10" fillId="0" borderId="57" xfId="0" applyNumberFormat="1" applyFont="1" applyFill="1" applyBorder="1" applyAlignment="1">
      <alignment horizontal="right" vertical="center"/>
    </xf>
    <xf numFmtId="0" fontId="53" fillId="0" borderId="57" xfId="0" applyFont="1" applyFill="1" applyBorder="1" applyAlignment="1">
      <alignment horizontal="center"/>
    </xf>
    <xf numFmtId="0" fontId="53" fillId="0" borderId="0" xfId="0" applyFont="1" applyAlignment="1">
      <alignment horizontal="left" wrapText="1"/>
    </xf>
    <xf numFmtId="0" fontId="53" fillId="28" borderId="0" xfId="0" applyFont="1" applyFill="1" applyAlignment="1">
      <alignment horizontal="center" vertical="center"/>
    </xf>
    <xf numFmtId="0" fontId="3" fillId="0" borderId="0" xfId="40" applyFont="1" applyFill="1" applyAlignment="1">
      <alignment horizontal="center"/>
    </xf>
    <xf numFmtId="0" fontId="3" fillId="0" borderId="0" xfId="40" applyFont="1" applyBorder="1" applyAlignment="1">
      <alignment horizontal="center"/>
    </xf>
    <xf numFmtId="0" fontId="3" fillId="0" borderId="0" xfId="40" applyFont="1" applyFill="1" applyBorder="1" applyAlignment="1">
      <alignment horizontal="center"/>
    </xf>
    <xf numFmtId="0" fontId="3" fillId="0" borderId="0" xfId="40" applyFont="1" applyFill="1" applyAlignment="1">
      <alignment horizontal="left"/>
    </xf>
    <xf numFmtId="43" fontId="4" fillId="0" borderId="0" xfId="40" applyNumberFormat="1" applyFont="1" applyFill="1" applyAlignment="1">
      <alignment horizontal="left"/>
    </xf>
    <xf numFmtId="43" fontId="4" fillId="0" borderId="0" xfId="40" applyNumberFormat="1" applyFont="1" applyAlignment="1">
      <alignment horizontal="left"/>
    </xf>
    <xf numFmtId="0" fontId="3" fillId="0" borderId="0" xfId="40" applyFont="1" applyAlignment="1">
      <alignment horizontal="center"/>
    </xf>
    <xf numFmtId="0" fontId="3" fillId="0" borderId="0" xfId="40" applyFont="1" applyFill="1" applyAlignment="1">
      <alignment horizontal="center"/>
    </xf>
    <xf numFmtId="43" fontId="3" fillId="0" borderId="0" xfId="40" applyNumberFormat="1" applyFont="1" applyFill="1" applyAlignment="1">
      <alignment horizontal="center"/>
    </xf>
    <xf numFmtId="0" fontId="9" fillId="0" borderId="0" xfId="40" applyFont="1" applyFill="1" applyBorder="1" applyAlignment="1">
      <alignment horizontal="left"/>
    </xf>
    <xf numFmtId="0" fontId="9" fillId="0" borderId="0" xfId="40" applyFont="1" applyFill="1" applyAlignment="1">
      <alignment horizontal="left"/>
    </xf>
  </cellXfs>
  <cellStyles count="121">
    <cellStyle name="20% - Énfasis1" xfId="1" builtinId="30" customBuiltin="1"/>
    <cellStyle name="20% - Énfasis1 2" xfId="98"/>
    <cellStyle name="20% - Énfasis2" xfId="2" builtinId="34" customBuiltin="1"/>
    <cellStyle name="20% - Énfasis2 2" xfId="102"/>
    <cellStyle name="20% - Énfasis3" xfId="3" builtinId="38" customBuiltin="1"/>
    <cellStyle name="20% - Énfasis3 2" xfId="106"/>
    <cellStyle name="20% - Énfasis4" xfId="4" builtinId="42" customBuiltin="1"/>
    <cellStyle name="20% - Énfasis4 2" xfId="110"/>
    <cellStyle name="20% - Énfasis5" xfId="5" builtinId="46" customBuiltin="1"/>
    <cellStyle name="20% - Énfasis5 2" xfId="114"/>
    <cellStyle name="20% - Énfasis6" xfId="6" builtinId="50" customBuiltin="1"/>
    <cellStyle name="20% - Énfasis6 2" xfId="118"/>
    <cellStyle name="40% - Énfasis1" xfId="7" builtinId="31" customBuiltin="1"/>
    <cellStyle name="40% - Énfasis1 2" xfId="99"/>
    <cellStyle name="40% - Énfasis2" xfId="8" builtinId="35" customBuiltin="1"/>
    <cellStyle name="40% - Énfasis2 2" xfId="103"/>
    <cellStyle name="40% - Énfasis3" xfId="9" builtinId="39" customBuiltin="1"/>
    <cellStyle name="40% - Énfasis3 2" xfId="107"/>
    <cellStyle name="40% - Énfasis4" xfId="10" builtinId="43" customBuiltin="1"/>
    <cellStyle name="40% - Énfasis4 2" xfId="111"/>
    <cellStyle name="40% - Énfasis5" xfId="11" builtinId="47" customBuiltin="1"/>
    <cellStyle name="40% - Énfasis5 2" xfId="115"/>
    <cellStyle name="40% - Énfasis6" xfId="12" builtinId="51" customBuiltin="1"/>
    <cellStyle name="40% - Énfasis6 2" xfId="119"/>
    <cellStyle name="60% - Énfasis1" xfId="13" builtinId="32" customBuiltin="1"/>
    <cellStyle name="60% - Énfasis1 2" xfId="100"/>
    <cellStyle name="60% - Énfasis2" xfId="14" builtinId="36" customBuiltin="1"/>
    <cellStyle name="60% - Énfasis2 2" xfId="104"/>
    <cellStyle name="60% - Énfasis3" xfId="15" builtinId="40" customBuiltin="1"/>
    <cellStyle name="60% - Énfasis3 2" xfId="108"/>
    <cellStyle name="60% - Énfasis4" xfId="16" builtinId="44" customBuiltin="1"/>
    <cellStyle name="60% - Énfasis4 2" xfId="112"/>
    <cellStyle name="60% - Énfasis5" xfId="17" builtinId="48" customBuiltin="1"/>
    <cellStyle name="60% - Énfasis5 2" xfId="116"/>
    <cellStyle name="60% - Énfasis6" xfId="18" builtinId="52" customBuiltin="1"/>
    <cellStyle name="60% - Énfasis6 2" xfId="120"/>
    <cellStyle name="Buena" xfId="19" builtinId="26" customBuiltin="1"/>
    <cellStyle name="Buena 2" xfId="85"/>
    <cellStyle name="Cálculo" xfId="20" builtinId="22" customBuiltin="1"/>
    <cellStyle name="Cálculo 2" xfId="90"/>
    <cellStyle name="Celda de comprobación" xfId="21" builtinId="23" customBuiltin="1"/>
    <cellStyle name="Celda de comprobación 2" xfId="92"/>
    <cellStyle name="Celda vinculada" xfId="22" builtinId="24" customBuiltin="1"/>
    <cellStyle name="Celda vinculada 2" xfId="91"/>
    <cellStyle name="Encabezado 1" xfId="47" builtinId="16" customBuiltin="1"/>
    <cellStyle name="Encabezado 1 2" xfId="81"/>
    <cellStyle name="Encabezado 4" xfId="23" builtinId="19" customBuiltin="1"/>
    <cellStyle name="Encabezado 4 2" xfId="84"/>
    <cellStyle name="Énfasis1" xfId="24" builtinId="29" customBuiltin="1"/>
    <cellStyle name="Énfasis1 2" xfId="97"/>
    <cellStyle name="Énfasis2" xfId="25" builtinId="33" customBuiltin="1"/>
    <cellStyle name="Énfasis2 2" xfId="101"/>
    <cellStyle name="Énfasis3" xfId="26" builtinId="37" customBuiltin="1"/>
    <cellStyle name="Énfasis3 2" xfId="105"/>
    <cellStyle name="Énfasis4" xfId="27" builtinId="41" customBuiltin="1"/>
    <cellStyle name="Énfasis4 2" xfId="109"/>
    <cellStyle name="Énfasis5" xfId="28" builtinId="45" customBuiltin="1"/>
    <cellStyle name="Énfasis5 2" xfId="113"/>
    <cellStyle name="Énfasis6" xfId="29" builtinId="49" customBuiltin="1"/>
    <cellStyle name="Énfasis6 2" xfId="117"/>
    <cellStyle name="Entrada" xfId="30" builtinId="20" customBuiltin="1"/>
    <cellStyle name="Entrada 2" xfId="88"/>
    <cellStyle name="Excel Built-in Comma" xfId="60"/>
    <cellStyle name="Excel Built-in Currency" xfId="59"/>
    <cellStyle name="Excel Built-in Currency [0]" xfId="61"/>
    <cellStyle name="Excel Built-in Explanatory Text" xfId="62"/>
    <cellStyle name="Excel_BuiltIn_Comma" xfId="73"/>
    <cellStyle name="Excel_BuiltIn_Currency" xfId="74"/>
    <cellStyle name="Hipervínculo" xfId="31" builtinId="8"/>
    <cellStyle name="Hipervínculo visitado" xfId="57" builtinId="9" hidden="1"/>
    <cellStyle name="Hipervínculo visitado" xfId="58"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71" builtinId="9" hidden="1"/>
    <cellStyle name="Incorrecto" xfId="32" builtinId="27" customBuiltin="1"/>
    <cellStyle name="Incorrecto 2" xfId="86"/>
    <cellStyle name="Millares" xfId="33" builtinId="3"/>
    <cellStyle name="Millares 2" xfId="55"/>
    <cellStyle name="Millares 3" xfId="79"/>
    <cellStyle name="Millares 4" xfId="75"/>
    <cellStyle name="Moneda" xfId="34" builtinId="4"/>
    <cellStyle name="Moneda [0] 2" xfId="53"/>
    <cellStyle name="Moneda 2" xfId="54"/>
    <cellStyle name="Moneda 4" xfId="76"/>
    <cellStyle name="Moneda_CAPITALIZABLES" xfId="35"/>
    <cellStyle name="Moneda_Hoja1" xfId="56"/>
    <cellStyle name="Neutral" xfId="36" builtinId="28" customBuiltin="1"/>
    <cellStyle name="Neutral 2" xfId="87"/>
    <cellStyle name="Normal" xfId="0" builtinId="0"/>
    <cellStyle name="Normal 2" xfId="52"/>
    <cellStyle name="Normal 2 2" xfId="70"/>
    <cellStyle name="Normal 2 3" xfId="72"/>
    <cellStyle name="Normal 3" xfId="51"/>
    <cellStyle name="Normal 3 2" xfId="77"/>
    <cellStyle name="Normal 4" xfId="78"/>
    <cellStyle name="Normal 5" xfId="69"/>
    <cellStyle name="Normal_CUADR1" xfId="37"/>
    <cellStyle name="Normal_CUADR15" xfId="38"/>
    <cellStyle name="Normal_CUADR24" xfId="39"/>
    <cellStyle name="Normal_CUADR3" xfId="40"/>
    <cellStyle name="Notas" xfId="41" builtinId="10" customBuiltin="1"/>
    <cellStyle name="Notas 2" xfId="94"/>
    <cellStyle name="Porcentaje" xfId="42" builtinId="5"/>
    <cellStyle name="Porcentual 2" xfId="63"/>
    <cellStyle name="Salida" xfId="43" builtinId="21" customBuiltin="1"/>
    <cellStyle name="Salida 2" xfId="89"/>
    <cellStyle name="TableStyleLight1" xfId="64"/>
    <cellStyle name="Texto de advertencia" xfId="44" builtinId="11" customBuiltin="1"/>
    <cellStyle name="Texto de advertencia 2" xfId="93"/>
    <cellStyle name="Texto explicativo" xfId="45" builtinId="53" customBuiltin="1"/>
    <cellStyle name="Texto explicativo 2" xfId="95"/>
    <cellStyle name="Título" xfId="46" builtinId="15" customBuiltin="1"/>
    <cellStyle name="Título 2" xfId="48" builtinId="17" customBuiltin="1"/>
    <cellStyle name="Título 2 2" xfId="82"/>
    <cellStyle name="Título 3" xfId="49" builtinId="18" customBuiltin="1"/>
    <cellStyle name="Título 3 2" xfId="83"/>
    <cellStyle name="Título 4" xfId="80"/>
    <cellStyle name="Total" xfId="50" builtinId="25" customBuiltin="1"/>
    <cellStyle name="Total 2" xfId="96"/>
  </cellStyles>
  <dxfs count="16">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onnections" Target="connection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9.emf"/><Relationship Id="rId13" Type="http://schemas.openxmlformats.org/officeDocument/2006/relationships/image" Target="../media/image24.emf"/><Relationship Id="rId18" Type="http://schemas.openxmlformats.org/officeDocument/2006/relationships/image" Target="../media/image29.emf"/><Relationship Id="rId26" Type="http://schemas.openxmlformats.org/officeDocument/2006/relationships/image" Target="../media/image37.emf"/><Relationship Id="rId3" Type="http://schemas.openxmlformats.org/officeDocument/2006/relationships/image" Target="../media/image14.emf"/><Relationship Id="rId21" Type="http://schemas.openxmlformats.org/officeDocument/2006/relationships/image" Target="../media/image32.emf"/><Relationship Id="rId7" Type="http://schemas.openxmlformats.org/officeDocument/2006/relationships/image" Target="../media/image18.emf"/><Relationship Id="rId12" Type="http://schemas.openxmlformats.org/officeDocument/2006/relationships/image" Target="../media/image23.emf"/><Relationship Id="rId17" Type="http://schemas.openxmlformats.org/officeDocument/2006/relationships/image" Target="../media/image28.emf"/><Relationship Id="rId25" Type="http://schemas.openxmlformats.org/officeDocument/2006/relationships/image" Target="../media/image36.emf"/><Relationship Id="rId2" Type="http://schemas.openxmlformats.org/officeDocument/2006/relationships/image" Target="../media/image13.emf"/><Relationship Id="rId16" Type="http://schemas.openxmlformats.org/officeDocument/2006/relationships/image" Target="../media/image27.emf"/><Relationship Id="rId20" Type="http://schemas.openxmlformats.org/officeDocument/2006/relationships/image" Target="../media/image31.emf"/><Relationship Id="rId29" Type="http://schemas.openxmlformats.org/officeDocument/2006/relationships/image" Target="../media/image40.emf"/><Relationship Id="rId1" Type="http://schemas.openxmlformats.org/officeDocument/2006/relationships/image" Target="../media/image12.emf"/><Relationship Id="rId6" Type="http://schemas.openxmlformats.org/officeDocument/2006/relationships/image" Target="../media/image17.emf"/><Relationship Id="rId11" Type="http://schemas.openxmlformats.org/officeDocument/2006/relationships/image" Target="../media/image22.emf"/><Relationship Id="rId24" Type="http://schemas.openxmlformats.org/officeDocument/2006/relationships/image" Target="../media/image35.emf"/><Relationship Id="rId5" Type="http://schemas.openxmlformats.org/officeDocument/2006/relationships/image" Target="../media/image16.emf"/><Relationship Id="rId15" Type="http://schemas.openxmlformats.org/officeDocument/2006/relationships/image" Target="../media/image26.emf"/><Relationship Id="rId23" Type="http://schemas.openxmlformats.org/officeDocument/2006/relationships/image" Target="../media/image34.emf"/><Relationship Id="rId28" Type="http://schemas.openxmlformats.org/officeDocument/2006/relationships/image" Target="../media/image39.emf"/><Relationship Id="rId10" Type="http://schemas.openxmlformats.org/officeDocument/2006/relationships/image" Target="../media/image21.emf"/><Relationship Id="rId19" Type="http://schemas.openxmlformats.org/officeDocument/2006/relationships/image" Target="../media/image30.emf"/><Relationship Id="rId4" Type="http://schemas.openxmlformats.org/officeDocument/2006/relationships/image" Target="../media/image15.emf"/><Relationship Id="rId9" Type="http://schemas.openxmlformats.org/officeDocument/2006/relationships/image" Target="../media/image20.emf"/><Relationship Id="rId14" Type="http://schemas.openxmlformats.org/officeDocument/2006/relationships/image" Target="../media/image25.emf"/><Relationship Id="rId22" Type="http://schemas.openxmlformats.org/officeDocument/2006/relationships/image" Target="../media/image33.emf"/><Relationship Id="rId27" Type="http://schemas.openxmlformats.org/officeDocument/2006/relationships/image" Target="../media/image38.emf"/></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40.xml.rels><?xml version="1.0" encoding="UTF-8" standalone="yes"?>
<Relationships xmlns="http://schemas.openxmlformats.org/package/2006/relationships"><Relationship Id="rId2" Type="http://schemas.openxmlformats.org/officeDocument/2006/relationships/image" Target="../media/image42.jpeg"/><Relationship Id="rId1" Type="http://schemas.openxmlformats.org/officeDocument/2006/relationships/image" Target="../media/image41.emf"/></Relationships>
</file>

<file path=xl/drawings/_rels/drawing42.xml.rels><?xml version="1.0" encoding="UTF-8" standalone="yes"?>
<Relationships xmlns="http://schemas.openxmlformats.org/package/2006/relationships"><Relationship Id="rId2" Type="http://schemas.openxmlformats.org/officeDocument/2006/relationships/image" Target="../media/image42.jpeg"/><Relationship Id="rId1" Type="http://schemas.openxmlformats.org/officeDocument/2006/relationships/image" Target="../media/image41.emf"/></Relationships>
</file>

<file path=xl/drawings/_rels/drawing44.xml.rels><?xml version="1.0" encoding="UTF-8" standalone="yes"?>
<Relationships xmlns="http://schemas.openxmlformats.org/package/2006/relationships"><Relationship Id="rId2" Type="http://schemas.openxmlformats.org/officeDocument/2006/relationships/image" Target="../media/image43.jpeg"/><Relationship Id="rId1" Type="http://schemas.openxmlformats.org/officeDocument/2006/relationships/image" Target="../media/image41.emf"/></Relationships>
</file>

<file path=xl/drawings/_rels/drawing46.xml.rels><?xml version="1.0" encoding="UTF-8" standalone="yes"?>
<Relationships xmlns="http://schemas.openxmlformats.org/package/2006/relationships"><Relationship Id="rId2" Type="http://schemas.openxmlformats.org/officeDocument/2006/relationships/image" Target="../media/image42.jpeg"/><Relationship Id="rId1" Type="http://schemas.openxmlformats.org/officeDocument/2006/relationships/image" Target="../media/image41.emf"/></Relationships>
</file>

<file path=xl/drawings/_rels/drawing48.xml.rels><?xml version="1.0" encoding="UTF-8" standalone="yes"?>
<Relationships xmlns="http://schemas.openxmlformats.org/package/2006/relationships"><Relationship Id="rId2" Type="http://schemas.openxmlformats.org/officeDocument/2006/relationships/image" Target="../media/image42.jpeg"/><Relationship Id="rId1" Type="http://schemas.openxmlformats.org/officeDocument/2006/relationships/image" Target="../media/image41.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9.xml.rels><?xml version="1.0" encoding="UTF-8" standalone="yes"?>
<Relationships xmlns="http://schemas.openxmlformats.org/package/2006/relationships"><Relationship Id="rId3" Type="http://schemas.openxmlformats.org/officeDocument/2006/relationships/image" Target="../media/image7.emf"/><Relationship Id="rId7"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5.emf"/><Relationship Id="rId6" Type="http://schemas.openxmlformats.org/officeDocument/2006/relationships/image" Target="../media/image10.emf"/><Relationship Id="rId5" Type="http://schemas.openxmlformats.org/officeDocument/2006/relationships/image" Target="../media/image9.emf"/><Relationship Id="rId4"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19050</xdr:rowOff>
    </xdr:from>
    <xdr:to>
      <xdr:col>7</xdr:col>
      <xdr:colOff>704850</xdr:colOff>
      <xdr:row>58</xdr:row>
      <xdr:rowOff>19050</xdr:rowOff>
    </xdr:to>
    <xdr:pic>
      <xdr:nvPicPr>
        <xdr:cNvPr id="3" name="Imagen 2"/>
        <xdr:cNvPicPr>
          <a:picLocks noChangeAspect="1"/>
        </xdr:cNvPicPr>
      </xdr:nvPicPr>
      <xdr:blipFill>
        <a:blip xmlns:r="http://schemas.openxmlformats.org/officeDocument/2006/relationships" r:embed="rId1"/>
        <a:stretch>
          <a:fillRect/>
        </a:stretch>
      </xdr:blipFill>
      <xdr:spPr>
        <a:xfrm>
          <a:off x="28575" y="19050"/>
          <a:ext cx="6010275" cy="94202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15876</xdr:colOff>
      <xdr:row>0</xdr:row>
      <xdr:rowOff>0</xdr:rowOff>
    </xdr:from>
    <xdr:to>
      <xdr:col>6</xdr:col>
      <xdr:colOff>1417908</xdr:colOff>
      <xdr:row>50</xdr:row>
      <xdr:rowOff>111125</xdr:rowOff>
    </xdr:to>
    <xdr:pic>
      <xdr:nvPicPr>
        <xdr:cNvPr id="32" name="Imagen 3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6" y="0"/>
          <a:ext cx="5974032" cy="804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19050</xdr:colOff>
      <xdr:row>0</xdr:row>
      <xdr:rowOff>0</xdr:rowOff>
    </xdr:from>
    <xdr:to>
      <xdr:col>14</xdr:col>
      <xdr:colOff>723900</xdr:colOff>
      <xdr:row>52</xdr:row>
      <xdr:rowOff>13840</xdr:rowOff>
    </xdr:to>
    <xdr:pic>
      <xdr:nvPicPr>
        <xdr:cNvPr id="39" name="Imagen 3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38850" y="0"/>
          <a:ext cx="6038850" cy="8929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19050</xdr:colOff>
      <xdr:row>0</xdr:row>
      <xdr:rowOff>0</xdr:rowOff>
    </xdr:from>
    <xdr:to>
      <xdr:col>38</xdr:col>
      <xdr:colOff>838199</xdr:colOff>
      <xdr:row>50</xdr:row>
      <xdr:rowOff>157608</xdr:rowOff>
    </xdr:to>
    <xdr:pic>
      <xdr:nvPicPr>
        <xdr:cNvPr id="53" name="Imagen 5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26900" y="0"/>
          <a:ext cx="6153149" cy="87301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19051</xdr:colOff>
      <xdr:row>0</xdr:row>
      <xdr:rowOff>0</xdr:rowOff>
    </xdr:from>
    <xdr:to>
      <xdr:col>46</xdr:col>
      <xdr:colOff>725333</xdr:colOff>
      <xdr:row>47</xdr:row>
      <xdr:rowOff>95250</xdr:rowOff>
    </xdr:to>
    <xdr:pic>
      <xdr:nvPicPr>
        <xdr:cNvPr id="55" name="Imagen 5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918151" y="0"/>
          <a:ext cx="5983132" cy="815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71</xdr:col>
      <xdr:colOff>38100</xdr:colOff>
      <xdr:row>0</xdr:row>
      <xdr:rowOff>0</xdr:rowOff>
    </xdr:from>
    <xdr:to>
      <xdr:col>78</xdr:col>
      <xdr:colOff>703853</xdr:colOff>
      <xdr:row>51</xdr:row>
      <xdr:rowOff>76200</xdr:rowOff>
    </xdr:to>
    <xdr:pic>
      <xdr:nvPicPr>
        <xdr:cNvPr id="59" name="Imagen 5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187850" y="0"/>
          <a:ext cx="5999753" cy="882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79</xdr:col>
      <xdr:colOff>19050</xdr:colOff>
      <xdr:row>0</xdr:row>
      <xdr:rowOff>1</xdr:rowOff>
    </xdr:from>
    <xdr:to>
      <xdr:col>87</xdr:col>
      <xdr:colOff>25592</xdr:colOff>
      <xdr:row>51</xdr:row>
      <xdr:rowOff>114300</xdr:rowOff>
    </xdr:to>
    <xdr:pic>
      <xdr:nvPicPr>
        <xdr:cNvPr id="60" name="Imagen 59"/>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264800" y="1"/>
          <a:ext cx="6102542" cy="8858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87</xdr:col>
      <xdr:colOff>19050</xdr:colOff>
      <xdr:row>0</xdr:row>
      <xdr:rowOff>0</xdr:rowOff>
    </xdr:from>
    <xdr:to>
      <xdr:col>94</xdr:col>
      <xdr:colOff>748387</xdr:colOff>
      <xdr:row>51</xdr:row>
      <xdr:rowOff>152400</xdr:rowOff>
    </xdr:to>
    <xdr:pic>
      <xdr:nvPicPr>
        <xdr:cNvPr id="64" name="Imagen 63"/>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7360800" y="0"/>
          <a:ext cx="6063337" cy="889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95</xdr:col>
      <xdr:colOff>38100</xdr:colOff>
      <xdr:row>0</xdr:row>
      <xdr:rowOff>0</xdr:rowOff>
    </xdr:from>
    <xdr:to>
      <xdr:col>102</xdr:col>
      <xdr:colOff>734854</xdr:colOff>
      <xdr:row>52</xdr:row>
      <xdr:rowOff>19050</xdr:rowOff>
    </xdr:to>
    <xdr:pic>
      <xdr:nvPicPr>
        <xdr:cNvPr id="69" name="Imagen 6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3475850" y="0"/>
          <a:ext cx="6030754" cy="893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103</xdr:col>
      <xdr:colOff>38100</xdr:colOff>
      <xdr:row>0</xdr:row>
      <xdr:rowOff>0</xdr:rowOff>
    </xdr:from>
    <xdr:to>
      <xdr:col>110</xdr:col>
      <xdr:colOff>711747</xdr:colOff>
      <xdr:row>52</xdr:row>
      <xdr:rowOff>19050</xdr:rowOff>
    </xdr:to>
    <xdr:pic>
      <xdr:nvPicPr>
        <xdr:cNvPr id="70" name="Imagen 6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9571850" y="0"/>
          <a:ext cx="6007647" cy="893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111</xdr:col>
      <xdr:colOff>38100</xdr:colOff>
      <xdr:row>0</xdr:row>
      <xdr:rowOff>0</xdr:rowOff>
    </xdr:from>
    <xdr:to>
      <xdr:col>118</xdr:col>
      <xdr:colOff>704850</xdr:colOff>
      <xdr:row>51</xdr:row>
      <xdr:rowOff>52021</xdr:rowOff>
    </xdr:to>
    <xdr:pic>
      <xdr:nvPicPr>
        <xdr:cNvPr id="71" name="Imagen 7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5667850" y="0"/>
          <a:ext cx="6000750" cy="8795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19050</xdr:colOff>
      <xdr:row>0</xdr:row>
      <xdr:rowOff>0</xdr:rowOff>
    </xdr:from>
    <xdr:to>
      <xdr:col>126</xdr:col>
      <xdr:colOff>704850</xdr:colOff>
      <xdr:row>51</xdr:row>
      <xdr:rowOff>88520</xdr:rowOff>
    </xdr:to>
    <xdr:pic>
      <xdr:nvPicPr>
        <xdr:cNvPr id="72" name="Imagen 7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1744800" y="0"/>
          <a:ext cx="6019800" cy="8832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143</xdr:col>
      <xdr:colOff>19050</xdr:colOff>
      <xdr:row>0</xdr:row>
      <xdr:rowOff>0</xdr:rowOff>
    </xdr:from>
    <xdr:to>
      <xdr:col>150</xdr:col>
      <xdr:colOff>709699</xdr:colOff>
      <xdr:row>49</xdr:row>
      <xdr:rowOff>95250</xdr:rowOff>
    </xdr:to>
    <xdr:pic>
      <xdr:nvPicPr>
        <xdr:cNvPr id="75" name="Imagen 7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032800" y="0"/>
          <a:ext cx="6024649" cy="849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151</xdr:col>
      <xdr:colOff>38100</xdr:colOff>
      <xdr:row>0</xdr:row>
      <xdr:rowOff>0</xdr:rowOff>
    </xdr:from>
    <xdr:to>
      <xdr:col>158</xdr:col>
      <xdr:colOff>703247</xdr:colOff>
      <xdr:row>42</xdr:row>
      <xdr:rowOff>114300</xdr:rowOff>
    </xdr:to>
    <xdr:pic>
      <xdr:nvPicPr>
        <xdr:cNvPr id="76" name="Imagen 75"/>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6147850" y="0"/>
          <a:ext cx="5999147" cy="731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159</xdr:col>
      <xdr:colOff>38100</xdr:colOff>
      <xdr:row>0</xdr:row>
      <xdr:rowOff>0</xdr:rowOff>
    </xdr:from>
    <xdr:to>
      <xdr:col>166</xdr:col>
      <xdr:colOff>682056</xdr:colOff>
      <xdr:row>51</xdr:row>
      <xdr:rowOff>95250</xdr:rowOff>
    </xdr:to>
    <xdr:pic>
      <xdr:nvPicPr>
        <xdr:cNvPr id="77" name="Imagen 76"/>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2243850" y="0"/>
          <a:ext cx="5977956" cy="88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175</xdr:col>
      <xdr:colOff>57150</xdr:colOff>
      <xdr:row>0</xdr:row>
      <xdr:rowOff>0</xdr:rowOff>
    </xdr:from>
    <xdr:to>
      <xdr:col>182</xdr:col>
      <xdr:colOff>676751</xdr:colOff>
      <xdr:row>51</xdr:row>
      <xdr:rowOff>76200</xdr:rowOff>
    </xdr:to>
    <xdr:pic>
      <xdr:nvPicPr>
        <xdr:cNvPr id="80" name="Imagen 79"/>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4454900" y="0"/>
          <a:ext cx="5953601" cy="882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207</xdr:col>
      <xdr:colOff>19050</xdr:colOff>
      <xdr:row>0</xdr:row>
      <xdr:rowOff>0</xdr:rowOff>
    </xdr:from>
    <xdr:to>
      <xdr:col>214</xdr:col>
      <xdr:colOff>723900</xdr:colOff>
      <xdr:row>42</xdr:row>
      <xdr:rowOff>59482</xdr:rowOff>
    </xdr:to>
    <xdr:pic>
      <xdr:nvPicPr>
        <xdr:cNvPr id="85" name="Imagen 84"/>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58800800" y="0"/>
          <a:ext cx="6038850" cy="7260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63</xdr:col>
      <xdr:colOff>31750</xdr:colOff>
      <xdr:row>0</xdr:row>
      <xdr:rowOff>0</xdr:rowOff>
    </xdr:from>
    <xdr:to>
      <xdr:col>70</xdr:col>
      <xdr:colOff>732692</xdr:colOff>
      <xdr:row>51</xdr:row>
      <xdr:rowOff>127000</xdr:rowOff>
    </xdr:to>
    <xdr:pic>
      <xdr:nvPicPr>
        <xdr:cNvPr id="36" name="Imagen 35"/>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9085500" y="0"/>
          <a:ext cx="6034942" cy="8223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135</xdr:col>
      <xdr:colOff>47625</xdr:colOff>
      <xdr:row>0</xdr:row>
      <xdr:rowOff>0</xdr:rowOff>
    </xdr:from>
    <xdr:to>
      <xdr:col>142</xdr:col>
      <xdr:colOff>728673</xdr:colOff>
      <xdr:row>50</xdr:row>
      <xdr:rowOff>111125</xdr:rowOff>
    </xdr:to>
    <xdr:pic>
      <xdr:nvPicPr>
        <xdr:cNvPr id="37" name="Imagen 36"/>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3965375" y="0"/>
          <a:ext cx="6015048" cy="804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199</xdr:col>
      <xdr:colOff>47625</xdr:colOff>
      <xdr:row>0</xdr:row>
      <xdr:rowOff>1</xdr:rowOff>
    </xdr:from>
    <xdr:to>
      <xdr:col>206</xdr:col>
      <xdr:colOff>695720</xdr:colOff>
      <xdr:row>51</xdr:row>
      <xdr:rowOff>127001</xdr:rowOff>
    </xdr:to>
    <xdr:pic>
      <xdr:nvPicPr>
        <xdr:cNvPr id="38" name="Imagen 37"/>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52733375" y="1"/>
          <a:ext cx="5982095" cy="8223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47625</xdr:colOff>
      <xdr:row>0</xdr:row>
      <xdr:rowOff>0</xdr:rowOff>
    </xdr:from>
    <xdr:to>
      <xdr:col>22</xdr:col>
      <xdr:colOff>727593</xdr:colOff>
      <xdr:row>49</xdr:row>
      <xdr:rowOff>0</xdr:rowOff>
    </xdr:to>
    <xdr:pic>
      <xdr:nvPicPr>
        <xdr:cNvPr id="40" name="Imagen 39"/>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160250" y="0"/>
          <a:ext cx="6013968" cy="7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47625</xdr:colOff>
      <xdr:row>0</xdr:row>
      <xdr:rowOff>1</xdr:rowOff>
    </xdr:from>
    <xdr:to>
      <xdr:col>30</xdr:col>
      <xdr:colOff>714375</xdr:colOff>
      <xdr:row>52</xdr:row>
      <xdr:rowOff>21245</xdr:rowOff>
    </xdr:to>
    <xdr:pic>
      <xdr:nvPicPr>
        <xdr:cNvPr id="41" name="Imagen 40"/>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8256250" y="1"/>
          <a:ext cx="6397625" cy="8276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127</xdr:col>
      <xdr:colOff>15875</xdr:colOff>
      <xdr:row>0</xdr:row>
      <xdr:rowOff>0</xdr:rowOff>
    </xdr:from>
    <xdr:to>
      <xdr:col>134</xdr:col>
      <xdr:colOff>723938</xdr:colOff>
      <xdr:row>48</xdr:row>
      <xdr:rowOff>0</xdr:rowOff>
    </xdr:to>
    <xdr:pic>
      <xdr:nvPicPr>
        <xdr:cNvPr id="43" name="Imagen 42"/>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7837625" y="0"/>
          <a:ext cx="6042063" cy="76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167</xdr:col>
      <xdr:colOff>31750</xdr:colOff>
      <xdr:row>0</xdr:row>
      <xdr:rowOff>0</xdr:rowOff>
    </xdr:from>
    <xdr:to>
      <xdr:col>174</xdr:col>
      <xdr:colOff>737917</xdr:colOff>
      <xdr:row>49</xdr:row>
      <xdr:rowOff>142875</xdr:rowOff>
    </xdr:to>
    <xdr:pic>
      <xdr:nvPicPr>
        <xdr:cNvPr id="44" name="Imagen 43"/>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8333500" y="0"/>
          <a:ext cx="6040167" cy="7921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183</xdr:col>
      <xdr:colOff>63500</xdr:colOff>
      <xdr:row>0</xdr:row>
      <xdr:rowOff>0</xdr:rowOff>
    </xdr:from>
    <xdr:to>
      <xdr:col>190</xdr:col>
      <xdr:colOff>730250</xdr:colOff>
      <xdr:row>51</xdr:row>
      <xdr:rowOff>58615</xdr:rowOff>
    </xdr:to>
    <xdr:pic>
      <xdr:nvPicPr>
        <xdr:cNvPr id="45" name="Imagen 44"/>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40557250" y="0"/>
          <a:ext cx="6000750" cy="8154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215</xdr:col>
      <xdr:colOff>31750</xdr:colOff>
      <xdr:row>0</xdr:row>
      <xdr:rowOff>0</xdr:rowOff>
    </xdr:from>
    <xdr:to>
      <xdr:col>222</xdr:col>
      <xdr:colOff>714375</xdr:colOff>
      <xdr:row>50</xdr:row>
      <xdr:rowOff>147518</xdr:rowOff>
    </xdr:to>
    <xdr:pic>
      <xdr:nvPicPr>
        <xdr:cNvPr id="50" name="Imagen 49"/>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64909500" y="0"/>
          <a:ext cx="6016625" cy="8085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223</xdr:col>
      <xdr:colOff>79375</xdr:colOff>
      <xdr:row>0</xdr:row>
      <xdr:rowOff>1</xdr:rowOff>
    </xdr:from>
    <xdr:to>
      <xdr:col>230</xdr:col>
      <xdr:colOff>703542</xdr:colOff>
      <xdr:row>40</xdr:row>
      <xdr:rowOff>142875</xdr:rowOff>
    </xdr:to>
    <xdr:pic>
      <xdr:nvPicPr>
        <xdr:cNvPr id="51" name="Imagen 50"/>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1053125" y="1"/>
          <a:ext cx="5958167" cy="6492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191</xdr:col>
      <xdr:colOff>47625</xdr:colOff>
      <xdr:row>0</xdr:row>
      <xdr:rowOff>0</xdr:rowOff>
    </xdr:from>
    <xdr:to>
      <xdr:col>198</xdr:col>
      <xdr:colOff>713485</xdr:colOff>
      <xdr:row>51</xdr:row>
      <xdr:rowOff>142875</xdr:rowOff>
    </xdr:to>
    <xdr:pic>
      <xdr:nvPicPr>
        <xdr:cNvPr id="52" name="Imagen 51"/>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46637375" y="0"/>
          <a:ext cx="5999860" cy="823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47</xdr:col>
      <xdr:colOff>47625</xdr:colOff>
      <xdr:row>0</xdr:row>
      <xdr:rowOff>0</xdr:rowOff>
    </xdr:from>
    <xdr:to>
      <xdr:col>54</xdr:col>
      <xdr:colOff>721136</xdr:colOff>
      <xdr:row>51</xdr:row>
      <xdr:rowOff>0</xdr:rowOff>
    </xdr:to>
    <xdr:pic>
      <xdr:nvPicPr>
        <xdr:cNvPr id="62" name="Imagen 61"/>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36972875" y="0"/>
          <a:ext cx="5944011" cy="809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55</xdr:col>
      <xdr:colOff>47625</xdr:colOff>
      <xdr:row>0</xdr:row>
      <xdr:rowOff>0</xdr:rowOff>
    </xdr:from>
    <xdr:to>
      <xdr:col>62</xdr:col>
      <xdr:colOff>736691</xdr:colOff>
      <xdr:row>50</xdr:row>
      <xdr:rowOff>47625</xdr:rowOff>
    </xdr:to>
    <xdr:pic>
      <xdr:nvPicPr>
        <xdr:cNvPr id="63" name="Imagen 62"/>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43005375" y="0"/>
          <a:ext cx="6023066" cy="798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95250</xdr:colOff>
      <xdr:row>3</xdr:row>
      <xdr:rowOff>152400</xdr:rowOff>
    </xdr:to>
    <xdr:sp macro="" textlink="">
      <xdr:nvSpPr>
        <xdr:cNvPr id="27649" name="WordArt 1"/>
        <xdr:cNvSpPr>
          <a:spLocks noChangeArrowheads="1" noChangeShapeType="1"/>
        </xdr:cNvSpPr>
      </xdr:nvSpPr>
      <xdr:spPr bwMode="auto">
        <a:xfrm>
          <a:off x="0" y="0"/>
          <a:ext cx="2381250" cy="638175"/>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III. ANEXOS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95250</xdr:colOff>
      <xdr:row>3</xdr:row>
      <xdr:rowOff>152400</xdr:rowOff>
    </xdr:to>
    <xdr:sp macro="" textlink="">
      <xdr:nvSpPr>
        <xdr:cNvPr id="5122" name="WordArt 2"/>
        <xdr:cNvSpPr>
          <a:spLocks noChangeArrowheads="1" noChangeShapeType="1"/>
        </xdr:cNvSpPr>
      </xdr:nvSpPr>
      <xdr:spPr bwMode="auto">
        <a:xfrm>
          <a:off x="0" y="0"/>
          <a:ext cx="2381250" cy="638175"/>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ANEXO 1</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95250</xdr:colOff>
      <xdr:row>3</xdr:row>
      <xdr:rowOff>152400</xdr:rowOff>
    </xdr:to>
    <xdr:sp macro="" textlink="">
      <xdr:nvSpPr>
        <xdr:cNvPr id="6146" name="WordArt 2"/>
        <xdr:cNvSpPr>
          <a:spLocks noChangeArrowheads="1" noChangeShapeType="1"/>
        </xdr:cNvSpPr>
      </xdr:nvSpPr>
      <xdr:spPr bwMode="auto">
        <a:xfrm>
          <a:off x="0" y="0"/>
          <a:ext cx="2381250" cy="638175"/>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ANEXO 2</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685800</xdr:colOff>
      <xdr:row>0</xdr:row>
      <xdr:rowOff>0</xdr:rowOff>
    </xdr:from>
    <xdr:to>
      <xdr:col>4</xdr:col>
      <xdr:colOff>19050</xdr:colOff>
      <xdr:row>3</xdr:row>
      <xdr:rowOff>152400</xdr:rowOff>
    </xdr:to>
    <xdr:sp macro="" textlink="">
      <xdr:nvSpPr>
        <xdr:cNvPr id="7170" name="WordArt 2"/>
        <xdr:cNvSpPr>
          <a:spLocks noChangeArrowheads="1" noChangeShapeType="1"/>
        </xdr:cNvSpPr>
      </xdr:nvSpPr>
      <xdr:spPr bwMode="auto">
        <a:xfrm>
          <a:off x="685800" y="0"/>
          <a:ext cx="2381250" cy="638175"/>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ANEXO 3</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200025</xdr:colOff>
      <xdr:row>0</xdr:row>
      <xdr:rowOff>0</xdr:rowOff>
    </xdr:from>
    <xdr:to>
      <xdr:col>3</xdr:col>
      <xdr:colOff>295275</xdr:colOff>
      <xdr:row>3</xdr:row>
      <xdr:rowOff>152400</xdr:rowOff>
    </xdr:to>
    <xdr:sp macro="" textlink="">
      <xdr:nvSpPr>
        <xdr:cNvPr id="8194" name="WordArt 2"/>
        <xdr:cNvSpPr>
          <a:spLocks noChangeArrowheads="1" noChangeShapeType="1"/>
        </xdr:cNvSpPr>
      </xdr:nvSpPr>
      <xdr:spPr bwMode="auto">
        <a:xfrm>
          <a:off x="200025" y="0"/>
          <a:ext cx="2381250" cy="638175"/>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ANEXO 4</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47625</xdr:rowOff>
    </xdr:from>
    <xdr:to>
      <xdr:col>3</xdr:col>
      <xdr:colOff>142875</xdr:colOff>
      <xdr:row>4</xdr:row>
      <xdr:rowOff>38100</xdr:rowOff>
    </xdr:to>
    <xdr:sp macro="" textlink="">
      <xdr:nvSpPr>
        <xdr:cNvPr id="45057" name="WordArt 1"/>
        <xdr:cNvSpPr>
          <a:spLocks noChangeArrowheads="1" noChangeShapeType="1"/>
        </xdr:cNvSpPr>
      </xdr:nvSpPr>
      <xdr:spPr bwMode="auto">
        <a:xfrm>
          <a:off x="47625" y="47625"/>
          <a:ext cx="2381250" cy="638175"/>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ANEXO 5</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95250</xdr:colOff>
      <xdr:row>3</xdr:row>
      <xdr:rowOff>152400</xdr:rowOff>
    </xdr:to>
    <xdr:sp macro="" textlink="">
      <xdr:nvSpPr>
        <xdr:cNvPr id="3" name="WordArt 1"/>
        <xdr:cNvSpPr>
          <a:spLocks noChangeArrowheads="1" noChangeShapeType="1"/>
        </xdr:cNvSpPr>
      </xdr:nvSpPr>
      <xdr:spPr bwMode="auto">
        <a:xfrm>
          <a:off x="0" y="0"/>
          <a:ext cx="2381250" cy="638175"/>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ANEXO 6</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95250</xdr:colOff>
      <xdr:row>3</xdr:row>
      <xdr:rowOff>152400</xdr:rowOff>
    </xdr:to>
    <xdr:sp macro="" textlink="">
      <xdr:nvSpPr>
        <xdr:cNvPr id="9218" name="WordArt 2"/>
        <xdr:cNvSpPr>
          <a:spLocks noChangeArrowheads="1" noChangeShapeType="1"/>
        </xdr:cNvSpPr>
      </xdr:nvSpPr>
      <xdr:spPr bwMode="auto">
        <a:xfrm>
          <a:off x="0" y="0"/>
          <a:ext cx="2381250" cy="638175"/>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ANEXO 7</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142875</xdr:colOff>
      <xdr:row>0</xdr:row>
      <xdr:rowOff>0</xdr:rowOff>
    </xdr:from>
    <xdr:to>
      <xdr:col>6</xdr:col>
      <xdr:colOff>257175</xdr:colOff>
      <xdr:row>6</xdr:row>
      <xdr:rowOff>123825</xdr:rowOff>
    </xdr:to>
    <xdr:sp macro="" textlink="">
      <xdr:nvSpPr>
        <xdr:cNvPr id="11266" name="WordArt 2"/>
        <xdr:cNvSpPr>
          <a:spLocks noChangeArrowheads="1" noChangeShapeType="1"/>
        </xdr:cNvSpPr>
      </xdr:nvSpPr>
      <xdr:spPr bwMode="auto">
        <a:xfrm>
          <a:off x="142875" y="0"/>
          <a:ext cx="4686300" cy="1095375"/>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VÍNCULO  EXTERNO</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328084</xdr:colOff>
      <xdr:row>0</xdr:row>
      <xdr:rowOff>0</xdr:rowOff>
    </xdr:from>
    <xdr:to>
      <xdr:col>7</xdr:col>
      <xdr:colOff>565988</xdr:colOff>
      <xdr:row>48</xdr:row>
      <xdr:rowOff>95250</xdr:rowOff>
    </xdr:to>
    <xdr:pic>
      <xdr:nvPicPr>
        <xdr:cNvPr id="7" name="Imagen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084" y="0"/>
          <a:ext cx="5593071" cy="771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84664</xdr:colOff>
      <xdr:row>0</xdr:row>
      <xdr:rowOff>1</xdr:rowOff>
    </xdr:from>
    <xdr:to>
      <xdr:col>15</xdr:col>
      <xdr:colOff>597676</xdr:colOff>
      <xdr:row>48</xdr:row>
      <xdr:rowOff>116417</xdr:rowOff>
    </xdr:to>
    <xdr:pic>
      <xdr:nvPicPr>
        <xdr:cNvPr id="4"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01831" y="1"/>
          <a:ext cx="5963428" cy="7736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95250</xdr:colOff>
      <xdr:row>3</xdr:row>
      <xdr:rowOff>152400</xdr:rowOff>
    </xdr:to>
    <xdr:sp macro="" textlink="">
      <xdr:nvSpPr>
        <xdr:cNvPr id="10242" name="WordArt 2"/>
        <xdr:cNvSpPr>
          <a:spLocks noChangeArrowheads="1" noChangeShapeType="1"/>
        </xdr:cNvSpPr>
      </xdr:nvSpPr>
      <xdr:spPr bwMode="auto">
        <a:xfrm>
          <a:off x="0" y="0"/>
          <a:ext cx="2381250" cy="638175"/>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ANEXO 8</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266700</xdr:colOff>
      <xdr:row>0</xdr:row>
      <xdr:rowOff>0</xdr:rowOff>
    </xdr:from>
    <xdr:to>
      <xdr:col>6</xdr:col>
      <xdr:colOff>495300</xdr:colOff>
      <xdr:row>6</xdr:row>
      <xdr:rowOff>142875</xdr:rowOff>
    </xdr:to>
    <xdr:sp macro="" textlink="">
      <xdr:nvSpPr>
        <xdr:cNvPr id="32769" name="WordArt 1"/>
        <xdr:cNvSpPr>
          <a:spLocks noChangeArrowheads="1" noChangeShapeType="1"/>
        </xdr:cNvSpPr>
      </xdr:nvSpPr>
      <xdr:spPr bwMode="auto">
        <a:xfrm>
          <a:off x="266700" y="0"/>
          <a:ext cx="4800600" cy="1114425"/>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VÍNCULO</a:t>
          </a:r>
          <a:r>
            <a:rPr lang="es-CR" sz="3600" kern="10" spc="0" baseline="0">
              <a:ln w="9525">
                <a:solidFill>
                  <a:srgbClr val="000000"/>
                </a:solidFill>
                <a:round/>
                <a:headEnd/>
                <a:tailEnd/>
              </a:ln>
              <a:solidFill>
                <a:srgbClr val="FF9900"/>
              </a:solidFill>
              <a:effectLst/>
              <a:latin typeface="Marigold"/>
            </a:rPr>
            <a:t> EXTERNO</a:t>
          </a:r>
        </a:p>
        <a:p>
          <a:pPr algn="ctr" rtl="0"/>
          <a:r>
            <a:rPr lang="es-CR" sz="3600" kern="10" spc="0" baseline="0">
              <a:ln w="9525">
                <a:solidFill>
                  <a:srgbClr val="000000"/>
                </a:solidFill>
                <a:round/>
                <a:headEnd/>
                <a:tailEnd/>
              </a:ln>
              <a:solidFill>
                <a:srgbClr val="FF9900"/>
              </a:solidFill>
              <a:effectLst/>
              <a:latin typeface="Marigold"/>
            </a:rPr>
            <a:t>FONDOS</a:t>
          </a:r>
          <a:r>
            <a:rPr lang="es-CR" sz="3600" kern="10" spc="0">
              <a:ln w="9525">
                <a:solidFill>
                  <a:srgbClr val="000000"/>
                </a:solidFill>
                <a:round/>
                <a:headEnd/>
                <a:tailEnd/>
              </a:ln>
              <a:solidFill>
                <a:srgbClr val="FF9900"/>
              </a:solidFill>
              <a:effectLst/>
              <a:latin typeface="Marigold"/>
            </a:rPr>
            <a:t> RESTRINGIDOS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95250</xdr:colOff>
      <xdr:row>3</xdr:row>
      <xdr:rowOff>152400</xdr:rowOff>
    </xdr:to>
    <xdr:sp macro="" textlink="">
      <xdr:nvSpPr>
        <xdr:cNvPr id="13314" name="WordArt 2"/>
        <xdr:cNvSpPr>
          <a:spLocks noChangeArrowheads="1" noChangeShapeType="1"/>
        </xdr:cNvSpPr>
      </xdr:nvSpPr>
      <xdr:spPr bwMode="auto">
        <a:xfrm>
          <a:off x="0" y="0"/>
          <a:ext cx="2381250" cy="638175"/>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ANEXO 9</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714375</xdr:colOff>
      <xdr:row>6</xdr:row>
      <xdr:rowOff>133350</xdr:rowOff>
    </xdr:to>
    <xdr:sp macro="" textlink="">
      <xdr:nvSpPr>
        <xdr:cNvPr id="33793" name="WordArt 1"/>
        <xdr:cNvSpPr>
          <a:spLocks noChangeArrowheads="1" noChangeShapeType="1"/>
        </xdr:cNvSpPr>
      </xdr:nvSpPr>
      <xdr:spPr bwMode="auto">
        <a:xfrm>
          <a:off x="0" y="9525"/>
          <a:ext cx="4524375" cy="1095375"/>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VÍNCULO EXTERNO</a:t>
          </a:r>
        </a:p>
        <a:p>
          <a:pPr algn="ctr" rtl="0"/>
          <a:r>
            <a:rPr lang="es-CR" sz="3600" kern="10" spc="0">
              <a:ln w="9525">
                <a:solidFill>
                  <a:srgbClr val="000000"/>
                </a:solidFill>
                <a:round/>
                <a:headEnd/>
                <a:tailEnd/>
              </a:ln>
              <a:solidFill>
                <a:srgbClr val="FF9900"/>
              </a:solidFill>
              <a:effectLst/>
              <a:latin typeface="Marigold"/>
            </a:rPr>
            <a:t>EMPRESAS</a:t>
          </a:r>
          <a:r>
            <a:rPr lang="es-CR" sz="3600" kern="10" spc="0" baseline="0">
              <a:ln w="9525">
                <a:solidFill>
                  <a:srgbClr val="000000"/>
                </a:solidFill>
                <a:round/>
                <a:headEnd/>
                <a:tailEnd/>
              </a:ln>
              <a:solidFill>
                <a:srgbClr val="FF9900"/>
              </a:solidFill>
              <a:effectLst/>
              <a:latin typeface="Marigold"/>
            </a:rPr>
            <a:t> </a:t>
          </a:r>
          <a:r>
            <a:rPr lang="es-CR" sz="3600" kern="10" spc="0">
              <a:ln w="9525">
                <a:solidFill>
                  <a:srgbClr val="000000"/>
                </a:solidFill>
                <a:round/>
                <a:headEnd/>
                <a:tailEnd/>
              </a:ln>
              <a:solidFill>
                <a:srgbClr val="FF9900"/>
              </a:solidFill>
              <a:effectLst/>
              <a:latin typeface="Marigold"/>
            </a:rPr>
            <a:t>AUXILIARES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95250</xdr:colOff>
      <xdr:row>3</xdr:row>
      <xdr:rowOff>152400</xdr:rowOff>
    </xdr:to>
    <xdr:sp macro="" textlink="">
      <xdr:nvSpPr>
        <xdr:cNvPr id="15362" name="WordArt 2"/>
        <xdr:cNvSpPr>
          <a:spLocks noChangeArrowheads="1" noChangeShapeType="1"/>
        </xdr:cNvSpPr>
      </xdr:nvSpPr>
      <xdr:spPr bwMode="auto">
        <a:xfrm>
          <a:off x="0" y="0"/>
          <a:ext cx="2381250" cy="638175"/>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ANEXO 10</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676275</xdr:colOff>
      <xdr:row>6</xdr:row>
      <xdr:rowOff>114300</xdr:rowOff>
    </xdr:to>
    <xdr:sp macro="" textlink="">
      <xdr:nvSpPr>
        <xdr:cNvPr id="39937" name="WordArt 1"/>
        <xdr:cNvSpPr>
          <a:spLocks noChangeArrowheads="1" noChangeShapeType="1"/>
        </xdr:cNvSpPr>
      </xdr:nvSpPr>
      <xdr:spPr bwMode="auto">
        <a:xfrm>
          <a:off x="0" y="0"/>
          <a:ext cx="4486275" cy="1085850"/>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VÍNCULO</a:t>
          </a:r>
          <a:r>
            <a:rPr lang="es-CR" sz="3600" kern="10" spc="0" baseline="0">
              <a:ln w="9525">
                <a:solidFill>
                  <a:srgbClr val="000000"/>
                </a:solidFill>
                <a:round/>
                <a:headEnd/>
                <a:tailEnd/>
              </a:ln>
              <a:solidFill>
                <a:srgbClr val="FF9900"/>
              </a:solidFill>
              <a:effectLst/>
              <a:latin typeface="Marigold"/>
            </a:rPr>
            <a:t> EXTERNO</a:t>
          </a:r>
        </a:p>
        <a:p>
          <a:pPr algn="ctr" rtl="0"/>
          <a:r>
            <a:rPr lang="es-CR" sz="3600" kern="10" spc="0" baseline="0">
              <a:ln w="9525">
                <a:solidFill>
                  <a:srgbClr val="000000"/>
                </a:solidFill>
                <a:round/>
                <a:headEnd/>
                <a:tailEnd/>
              </a:ln>
              <a:solidFill>
                <a:srgbClr val="FF9900"/>
              </a:solidFill>
              <a:effectLst/>
              <a:latin typeface="Marigold"/>
            </a:rPr>
            <a:t>CURSOS</a:t>
          </a:r>
          <a:r>
            <a:rPr lang="es-CR" sz="3600" kern="10" spc="0">
              <a:ln w="9525">
                <a:solidFill>
                  <a:srgbClr val="000000"/>
                </a:solidFill>
                <a:round/>
                <a:headEnd/>
                <a:tailEnd/>
              </a:ln>
              <a:solidFill>
                <a:srgbClr val="FF9900"/>
              </a:solidFill>
              <a:effectLst/>
              <a:latin typeface="Marigold"/>
            </a:rPr>
            <a:t> ESPECIALES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95250</xdr:colOff>
      <xdr:row>3</xdr:row>
      <xdr:rowOff>152400</xdr:rowOff>
    </xdr:to>
    <xdr:sp macro="" textlink="">
      <xdr:nvSpPr>
        <xdr:cNvPr id="47105" name="WordArt 1"/>
        <xdr:cNvSpPr>
          <a:spLocks noChangeArrowheads="1" noChangeShapeType="1"/>
        </xdr:cNvSpPr>
      </xdr:nvSpPr>
      <xdr:spPr bwMode="auto">
        <a:xfrm>
          <a:off x="0" y="0"/>
          <a:ext cx="2381250" cy="638175"/>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ANEXO 11</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600075</xdr:colOff>
      <xdr:row>9</xdr:row>
      <xdr:rowOff>95249</xdr:rowOff>
    </xdr:to>
    <xdr:sp macro="" textlink="">
      <xdr:nvSpPr>
        <xdr:cNvPr id="48129" name="WordArt 1"/>
        <xdr:cNvSpPr>
          <a:spLocks noChangeArrowheads="1" noChangeShapeType="1"/>
        </xdr:cNvSpPr>
      </xdr:nvSpPr>
      <xdr:spPr bwMode="auto">
        <a:xfrm>
          <a:off x="0" y="0"/>
          <a:ext cx="4410075" cy="1552574"/>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VÍNCULO EXTERNO</a:t>
          </a:r>
        </a:p>
        <a:p>
          <a:pPr algn="ctr" rtl="0"/>
          <a:r>
            <a:rPr lang="es-CR" sz="3600" kern="10" spc="0">
              <a:ln w="9525">
                <a:solidFill>
                  <a:srgbClr val="000000"/>
                </a:solidFill>
                <a:round/>
                <a:headEnd/>
                <a:tailEnd/>
              </a:ln>
              <a:solidFill>
                <a:srgbClr val="FF9900"/>
              </a:solidFill>
              <a:effectLst/>
              <a:latin typeface="Marigold"/>
            </a:rPr>
            <a:t>PROGRAMA DE POSGRADO CON</a:t>
          </a:r>
        </a:p>
        <a:p>
          <a:pPr algn="ctr" rtl="0"/>
          <a:r>
            <a:rPr lang="es-CR" sz="3600" kern="10" spc="0">
              <a:ln w="9525">
                <a:solidFill>
                  <a:srgbClr val="000000"/>
                </a:solidFill>
                <a:round/>
                <a:headEnd/>
                <a:tailEnd/>
              </a:ln>
              <a:solidFill>
                <a:srgbClr val="FF9900"/>
              </a:solidFill>
              <a:effectLst/>
              <a:latin typeface="Marigold"/>
            </a:rPr>
            <a:t>FINANCIAMIENTO COMPLEMENTARIO</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95250</xdr:colOff>
      <xdr:row>3</xdr:row>
      <xdr:rowOff>152400</xdr:rowOff>
    </xdr:to>
    <xdr:sp macro="" textlink="">
      <xdr:nvSpPr>
        <xdr:cNvPr id="36865" name="WordArt 1"/>
        <xdr:cNvSpPr>
          <a:spLocks noChangeArrowheads="1" noChangeShapeType="1"/>
        </xdr:cNvSpPr>
      </xdr:nvSpPr>
      <xdr:spPr bwMode="auto">
        <a:xfrm>
          <a:off x="0" y="0"/>
          <a:ext cx="2381250" cy="638175"/>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ANEXO 12</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733425</xdr:colOff>
      <xdr:row>0</xdr:row>
      <xdr:rowOff>0</xdr:rowOff>
    </xdr:from>
    <xdr:to>
      <xdr:col>4</xdr:col>
      <xdr:colOff>66675</xdr:colOff>
      <xdr:row>3</xdr:row>
      <xdr:rowOff>152400</xdr:rowOff>
    </xdr:to>
    <xdr:sp macro="" textlink="">
      <xdr:nvSpPr>
        <xdr:cNvPr id="16386" name="WordArt 2"/>
        <xdr:cNvSpPr>
          <a:spLocks noChangeArrowheads="1" noChangeShapeType="1"/>
        </xdr:cNvSpPr>
      </xdr:nvSpPr>
      <xdr:spPr bwMode="auto">
        <a:xfrm>
          <a:off x="733425" y="0"/>
          <a:ext cx="2381250" cy="638175"/>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INGRESOS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7</xdr:row>
      <xdr:rowOff>9525</xdr:rowOff>
    </xdr:to>
    <xdr:sp macro="" textlink="">
      <xdr:nvSpPr>
        <xdr:cNvPr id="28673" name="WordArt 1"/>
        <xdr:cNvSpPr>
          <a:spLocks noChangeArrowheads="1" noChangeShapeType="1"/>
        </xdr:cNvSpPr>
      </xdr:nvSpPr>
      <xdr:spPr bwMode="auto">
        <a:xfrm>
          <a:off x="0" y="0"/>
          <a:ext cx="4543425" cy="1143000"/>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I. ESTADOS FINANCIEROS</a:t>
          </a:r>
        </a:p>
        <a:p>
          <a:pPr algn="ctr" rtl="0"/>
          <a:r>
            <a:rPr lang="es-CR" sz="3600" kern="10" spc="0">
              <a:ln w="9525">
                <a:solidFill>
                  <a:srgbClr val="000000"/>
                </a:solidFill>
                <a:round/>
                <a:headEnd/>
                <a:tailEnd/>
              </a:ln>
              <a:solidFill>
                <a:srgbClr val="FF9900"/>
              </a:solidFill>
              <a:effectLst/>
              <a:latin typeface="Marigold"/>
            </a:rPr>
            <a:t>Y</a:t>
          </a:r>
        </a:p>
        <a:p>
          <a:pPr algn="ctr" rtl="0"/>
          <a:r>
            <a:rPr lang="es-CR" sz="3600" kern="10" spc="0">
              <a:ln w="9525">
                <a:solidFill>
                  <a:srgbClr val="000000"/>
                </a:solidFill>
                <a:round/>
                <a:headEnd/>
                <a:tailEnd/>
              </a:ln>
              <a:solidFill>
                <a:srgbClr val="FF9900"/>
              </a:solidFill>
              <a:effectLst/>
              <a:latin typeface="Marigold"/>
            </a:rPr>
            <a:t>EJECUCIÓN PRESUPUESTARIA</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723900</xdr:colOff>
      <xdr:row>7</xdr:row>
      <xdr:rowOff>0</xdr:rowOff>
    </xdr:to>
    <xdr:sp macro="" textlink="">
      <xdr:nvSpPr>
        <xdr:cNvPr id="17410" name="WordArt 2"/>
        <xdr:cNvSpPr>
          <a:spLocks noChangeArrowheads="1" noChangeShapeType="1"/>
        </xdr:cNvSpPr>
      </xdr:nvSpPr>
      <xdr:spPr bwMode="auto">
        <a:xfrm>
          <a:off x="0" y="0"/>
          <a:ext cx="4533900" cy="1133475"/>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INGRESOS POR SECCIÓN </a:t>
          </a:r>
        </a:p>
        <a:p>
          <a:pPr algn="ctr" rtl="0"/>
          <a:r>
            <a:rPr lang="es-CR" sz="3600" kern="10" spc="0">
              <a:ln w="9525">
                <a:solidFill>
                  <a:srgbClr val="000000"/>
                </a:solidFill>
                <a:round/>
                <a:headEnd/>
                <a:tailEnd/>
              </a:ln>
              <a:solidFill>
                <a:srgbClr val="FF9900"/>
              </a:solidFill>
              <a:effectLst/>
              <a:latin typeface="Marigold"/>
            </a:rPr>
            <a:t>Y </a:t>
          </a:r>
        </a:p>
        <a:p>
          <a:pPr algn="ctr" rtl="0"/>
          <a:r>
            <a:rPr lang="es-CR" sz="3600" kern="10" spc="0">
              <a:ln w="9525">
                <a:solidFill>
                  <a:srgbClr val="000000"/>
                </a:solidFill>
                <a:round/>
                <a:headEnd/>
                <a:tailEnd/>
              </a:ln>
              <a:solidFill>
                <a:srgbClr val="FF9900"/>
              </a:solidFill>
              <a:effectLst/>
              <a:latin typeface="Marigold"/>
            </a:rPr>
            <a:t>CLASE BÁSICA</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438150</xdr:colOff>
      <xdr:row>0</xdr:row>
      <xdr:rowOff>0</xdr:rowOff>
    </xdr:from>
    <xdr:to>
      <xdr:col>6</xdr:col>
      <xdr:colOff>438150</xdr:colOff>
      <xdr:row>7</xdr:row>
      <xdr:rowOff>19050</xdr:rowOff>
    </xdr:to>
    <xdr:sp macro="" textlink="">
      <xdr:nvSpPr>
        <xdr:cNvPr id="18434" name="WordArt 2"/>
        <xdr:cNvSpPr>
          <a:spLocks noChangeArrowheads="1" noChangeShapeType="1"/>
        </xdr:cNvSpPr>
      </xdr:nvSpPr>
      <xdr:spPr bwMode="auto">
        <a:xfrm>
          <a:off x="438150" y="0"/>
          <a:ext cx="4572000" cy="1152525"/>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SITUACIÓN PRESUPUESTARIA</a:t>
          </a:r>
        </a:p>
        <a:p>
          <a:pPr algn="ctr" rtl="0"/>
          <a:r>
            <a:rPr lang="es-CR" sz="3600" kern="10" spc="0">
              <a:ln w="9525">
                <a:solidFill>
                  <a:srgbClr val="000000"/>
                </a:solidFill>
                <a:round/>
                <a:headEnd/>
                <a:tailEnd/>
              </a:ln>
              <a:solidFill>
                <a:srgbClr val="FF9900"/>
              </a:solidFill>
              <a:effectLst/>
              <a:latin typeface="Marigold"/>
            </a:rPr>
            <a:t>INGRESOS</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123825</xdr:colOff>
      <xdr:row>4</xdr:row>
      <xdr:rowOff>9525</xdr:rowOff>
    </xdr:to>
    <xdr:sp macro="" textlink="">
      <xdr:nvSpPr>
        <xdr:cNvPr id="23553" name="WordArt 1"/>
        <xdr:cNvSpPr>
          <a:spLocks noChangeArrowheads="1" noChangeShapeType="1"/>
        </xdr:cNvSpPr>
      </xdr:nvSpPr>
      <xdr:spPr bwMode="auto">
        <a:xfrm>
          <a:off x="0" y="0"/>
          <a:ext cx="2409825" cy="657225"/>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ANEXO 13</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352425</xdr:colOff>
      <xdr:row>0</xdr:row>
      <xdr:rowOff>38100</xdr:rowOff>
    </xdr:from>
    <xdr:to>
      <xdr:col>6</xdr:col>
      <xdr:colOff>352425</xdr:colOff>
      <xdr:row>7</xdr:row>
      <xdr:rowOff>57150</xdr:rowOff>
    </xdr:to>
    <xdr:sp macro="" textlink="">
      <xdr:nvSpPr>
        <xdr:cNvPr id="19458" name="WordArt 2"/>
        <xdr:cNvSpPr>
          <a:spLocks noChangeArrowheads="1" noChangeShapeType="1"/>
        </xdr:cNvSpPr>
      </xdr:nvSpPr>
      <xdr:spPr bwMode="auto">
        <a:xfrm>
          <a:off x="352425" y="38100"/>
          <a:ext cx="4572000" cy="1152525"/>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EGRESOS POR SECCIÓN</a:t>
          </a:r>
        </a:p>
        <a:p>
          <a:pPr algn="ctr" rtl="0"/>
          <a:r>
            <a:rPr lang="es-CR" sz="3600" kern="10" spc="0">
              <a:ln w="9525">
                <a:solidFill>
                  <a:srgbClr val="000000"/>
                </a:solidFill>
                <a:round/>
                <a:headEnd/>
                <a:tailEnd/>
              </a:ln>
              <a:solidFill>
                <a:srgbClr val="FF9900"/>
              </a:solidFill>
              <a:effectLst/>
              <a:latin typeface="Marigold"/>
            </a:rPr>
            <a:t>Y</a:t>
          </a:r>
        </a:p>
        <a:p>
          <a:pPr algn="ctr" rtl="0"/>
          <a:r>
            <a:rPr lang="es-CR" sz="3600" kern="10" spc="0">
              <a:ln w="9525">
                <a:solidFill>
                  <a:srgbClr val="000000"/>
                </a:solidFill>
                <a:round/>
                <a:headEnd/>
                <a:tailEnd/>
              </a:ln>
              <a:solidFill>
                <a:srgbClr val="FF9900"/>
              </a:solidFill>
              <a:effectLst/>
              <a:latin typeface="Marigold"/>
            </a:rPr>
            <a:t>OBJETO DEL GASTO</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742950</xdr:colOff>
      <xdr:row>7</xdr:row>
      <xdr:rowOff>19050</xdr:rowOff>
    </xdr:to>
    <xdr:sp macro="" textlink="">
      <xdr:nvSpPr>
        <xdr:cNvPr id="20482" name="WordArt 2"/>
        <xdr:cNvSpPr>
          <a:spLocks noChangeArrowheads="1" noChangeShapeType="1"/>
        </xdr:cNvSpPr>
      </xdr:nvSpPr>
      <xdr:spPr bwMode="auto">
        <a:xfrm>
          <a:off x="0" y="0"/>
          <a:ext cx="4552950" cy="1152525"/>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SITUACIÓN PRESUPUESTARIA</a:t>
          </a:r>
        </a:p>
        <a:p>
          <a:pPr algn="ctr" rtl="0"/>
          <a:r>
            <a:rPr lang="es-CR" sz="3600" kern="10" spc="0">
              <a:ln w="9525">
                <a:solidFill>
                  <a:srgbClr val="000000"/>
                </a:solidFill>
                <a:round/>
                <a:headEnd/>
                <a:tailEnd/>
              </a:ln>
              <a:solidFill>
                <a:srgbClr val="FF9900"/>
              </a:solidFill>
              <a:effectLst/>
              <a:latin typeface="Marigold"/>
            </a:rPr>
            <a:t>EGRESOS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1</xdr:rowOff>
    </xdr:from>
    <xdr:to>
      <xdr:col>5</xdr:col>
      <xdr:colOff>542925</xdr:colOff>
      <xdr:row>6</xdr:row>
      <xdr:rowOff>133351</xdr:rowOff>
    </xdr:to>
    <xdr:sp macro="" textlink="">
      <xdr:nvSpPr>
        <xdr:cNvPr id="21506" name="WordArt 2"/>
        <xdr:cNvSpPr>
          <a:spLocks noChangeArrowheads="1" noChangeShapeType="1"/>
        </xdr:cNvSpPr>
      </xdr:nvSpPr>
      <xdr:spPr bwMode="auto">
        <a:xfrm>
          <a:off x="0" y="1"/>
          <a:ext cx="4352925" cy="1104900"/>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EGRESOS</a:t>
          </a:r>
        </a:p>
        <a:p>
          <a:pPr algn="ctr" rtl="0"/>
          <a:r>
            <a:rPr lang="es-CR" sz="3600" kern="10" spc="0">
              <a:ln w="9525">
                <a:solidFill>
                  <a:srgbClr val="000000"/>
                </a:solidFill>
                <a:round/>
                <a:headEnd/>
                <a:tailEnd/>
              </a:ln>
              <a:solidFill>
                <a:srgbClr val="FF9900"/>
              </a:solidFill>
              <a:effectLst/>
              <a:latin typeface="Marigold"/>
            </a:rPr>
            <a:t>POR SECCIÓN</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723900</xdr:colOff>
      <xdr:row>6</xdr:row>
      <xdr:rowOff>142875</xdr:rowOff>
    </xdr:to>
    <xdr:sp macro="" textlink="">
      <xdr:nvSpPr>
        <xdr:cNvPr id="22530" name="WordArt 2"/>
        <xdr:cNvSpPr>
          <a:spLocks noChangeArrowheads="1" noChangeShapeType="1"/>
        </xdr:cNvSpPr>
      </xdr:nvSpPr>
      <xdr:spPr bwMode="auto">
        <a:xfrm>
          <a:off x="0" y="0"/>
          <a:ext cx="4533900" cy="1114425"/>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EGRESOS POR</a:t>
          </a:r>
        </a:p>
        <a:p>
          <a:pPr algn="ctr" rtl="0"/>
          <a:r>
            <a:rPr lang="es-CR" sz="3600" kern="10" spc="0">
              <a:ln w="9525">
                <a:solidFill>
                  <a:srgbClr val="000000"/>
                </a:solidFill>
                <a:round/>
                <a:headEnd/>
                <a:tailEnd/>
              </a:ln>
              <a:solidFill>
                <a:srgbClr val="FF9900"/>
              </a:solidFill>
              <a:effectLst/>
              <a:latin typeface="Marigold"/>
            </a:rPr>
            <a:t>OBJETO DEL GASTO</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123825</xdr:colOff>
      <xdr:row>4</xdr:row>
      <xdr:rowOff>9525</xdr:rowOff>
    </xdr:to>
    <xdr:sp macro="" textlink="">
      <xdr:nvSpPr>
        <xdr:cNvPr id="2" name="WordArt 1"/>
        <xdr:cNvSpPr>
          <a:spLocks noChangeArrowheads="1" noChangeShapeType="1"/>
        </xdr:cNvSpPr>
      </xdr:nvSpPr>
      <xdr:spPr bwMode="auto">
        <a:xfrm>
          <a:off x="0" y="0"/>
          <a:ext cx="2409825" cy="657225"/>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ANEXO 14</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228600</xdr:colOff>
      <xdr:row>0</xdr:row>
      <xdr:rowOff>47625</xdr:rowOff>
    </xdr:from>
    <xdr:to>
      <xdr:col>7</xdr:col>
      <xdr:colOff>628650</xdr:colOff>
      <xdr:row>16</xdr:row>
      <xdr:rowOff>85725</xdr:rowOff>
    </xdr:to>
    <xdr:sp macro="" textlink="">
      <xdr:nvSpPr>
        <xdr:cNvPr id="2" name="WordArt 2"/>
        <xdr:cNvSpPr>
          <a:spLocks noChangeArrowheads="1" noChangeShapeType="1"/>
        </xdr:cNvSpPr>
      </xdr:nvSpPr>
      <xdr:spPr bwMode="auto">
        <a:xfrm>
          <a:off x="228600" y="47625"/>
          <a:ext cx="5467350" cy="2628900"/>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ESTADO</a:t>
          </a:r>
          <a:r>
            <a:rPr lang="es-CR" sz="3600" kern="10" spc="0" baseline="0">
              <a:ln w="9525">
                <a:solidFill>
                  <a:srgbClr val="000000"/>
                </a:solidFill>
                <a:round/>
                <a:headEnd/>
                <a:tailEnd/>
              </a:ln>
              <a:solidFill>
                <a:srgbClr val="FF9900"/>
              </a:solidFill>
              <a:effectLst/>
              <a:latin typeface="Marigold"/>
            </a:rPr>
            <a:t> DE LOS </a:t>
          </a:r>
          <a:endParaRPr lang="es-CR" sz="3600" kern="10" spc="0">
            <a:ln w="9525">
              <a:solidFill>
                <a:srgbClr val="000000"/>
              </a:solidFill>
              <a:round/>
              <a:headEnd/>
              <a:tailEnd/>
            </a:ln>
            <a:solidFill>
              <a:srgbClr val="FF9900"/>
            </a:solidFill>
            <a:effectLst/>
            <a:latin typeface="Marigold"/>
          </a:endParaRPr>
        </a:p>
        <a:p>
          <a:pPr algn="ctr" rtl="0"/>
          <a:r>
            <a:rPr lang="es-CR" sz="3600" kern="10" spc="0">
              <a:ln w="9525">
                <a:solidFill>
                  <a:srgbClr val="000000"/>
                </a:solidFill>
                <a:round/>
                <a:headEnd/>
                <a:tailEnd/>
              </a:ln>
              <a:solidFill>
                <a:srgbClr val="FF9900"/>
              </a:solidFill>
              <a:effectLst/>
              <a:latin typeface="Marigold"/>
            </a:rPr>
            <a:t>PROYECTOS DE </a:t>
          </a:r>
        </a:p>
        <a:p>
          <a:pPr algn="ctr" rtl="0"/>
          <a:r>
            <a:rPr lang="es-CR" sz="3600" kern="10" spc="0">
              <a:ln w="9525">
                <a:solidFill>
                  <a:srgbClr val="000000"/>
                </a:solidFill>
                <a:round/>
                <a:headEnd/>
                <a:tailEnd/>
              </a:ln>
              <a:solidFill>
                <a:srgbClr val="FF9900"/>
              </a:solidFill>
              <a:effectLst/>
              <a:latin typeface="Marigold"/>
            </a:rPr>
            <a:t>INVERSIÓN</a:t>
          </a:r>
        </a:p>
        <a:p>
          <a:pPr algn="ctr" rtl="0"/>
          <a:endParaRPr lang="es-CR" sz="3600" kern="10" spc="0">
            <a:ln w="9525">
              <a:solidFill>
                <a:srgbClr val="000000"/>
              </a:solidFill>
              <a:round/>
              <a:headEnd/>
              <a:tailEnd/>
            </a:ln>
            <a:solidFill>
              <a:srgbClr val="FF9900"/>
            </a:solidFill>
            <a:effectLst/>
            <a:latin typeface="Marigold"/>
          </a:endParaRPr>
        </a:p>
        <a:p>
          <a:pPr algn="ctr" rtl="0"/>
          <a:r>
            <a:rPr lang="es-CR" sz="3600" kern="10" spc="0">
              <a:ln w="9525">
                <a:solidFill>
                  <a:srgbClr val="000000"/>
                </a:solidFill>
                <a:round/>
                <a:headEnd/>
                <a:tailEnd/>
              </a:ln>
              <a:solidFill>
                <a:srgbClr val="FF9900"/>
              </a:solidFill>
              <a:effectLst/>
              <a:latin typeface="Marigold"/>
            </a:rPr>
            <a:t>PROGRAMA DE INVERSIONES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47625</xdr:rowOff>
    </xdr:from>
    <xdr:to>
      <xdr:col>7</xdr:col>
      <xdr:colOff>400050</xdr:colOff>
      <xdr:row>16</xdr:row>
      <xdr:rowOff>85725</xdr:rowOff>
    </xdr:to>
    <xdr:sp macro="" textlink="">
      <xdr:nvSpPr>
        <xdr:cNvPr id="2" name="WordArt 2"/>
        <xdr:cNvSpPr>
          <a:spLocks noChangeArrowheads="1" noChangeShapeType="1"/>
        </xdr:cNvSpPr>
      </xdr:nvSpPr>
      <xdr:spPr bwMode="auto">
        <a:xfrm>
          <a:off x="0" y="47625"/>
          <a:ext cx="5734050" cy="2628900"/>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PROYECTOS</a:t>
          </a:r>
        </a:p>
        <a:p>
          <a:pPr algn="ctr" rtl="0"/>
          <a:r>
            <a:rPr lang="es-CR" sz="3600" kern="10" spc="0">
              <a:ln w="9525">
                <a:solidFill>
                  <a:srgbClr val="000000"/>
                </a:solidFill>
                <a:round/>
                <a:headEnd/>
                <a:tailEnd/>
              </a:ln>
              <a:solidFill>
                <a:srgbClr val="FF9900"/>
              </a:solidFill>
              <a:effectLst/>
              <a:latin typeface="Marigold"/>
            </a:rPr>
            <a:t> EN PROCESO DE DISEÑO</a:t>
          </a:r>
        </a:p>
        <a:p>
          <a:pPr algn="ctr" rtl="0"/>
          <a:endParaRPr lang="es-CR" sz="3600" kern="10" spc="0">
            <a:ln w="9525">
              <a:solidFill>
                <a:srgbClr val="000000"/>
              </a:solidFill>
              <a:round/>
              <a:headEnd/>
              <a:tailEnd/>
            </a:ln>
            <a:solidFill>
              <a:srgbClr val="FF9900"/>
            </a:solidFill>
            <a:effectLst/>
            <a:latin typeface="Marigold"/>
          </a:endParaRPr>
        </a:p>
        <a:p>
          <a:pPr algn="ctr" rtl="0"/>
          <a:r>
            <a:rPr lang="es-CR" sz="3600" kern="10" spc="0">
              <a:ln w="9525">
                <a:solidFill>
                  <a:srgbClr val="000000"/>
                </a:solidFill>
                <a:round/>
                <a:headEnd/>
                <a:tailEnd/>
              </a:ln>
              <a:solidFill>
                <a:srgbClr val="FF9900"/>
              </a:solidFill>
              <a:effectLst/>
              <a:latin typeface="Marigold"/>
            </a:rPr>
            <a:t>PROGRAMA DE INVERSIONES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7</xdr:row>
      <xdr:rowOff>9525</xdr:rowOff>
    </xdr:to>
    <xdr:sp macro="" textlink="">
      <xdr:nvSpPr>
        <xdr:cNvPr id="2" name="WordArt 1"/>
        <xdr:cNvSpPr>
          <a:spLocks noChangeArrowheads="1" noChangeShapeType="1"/>
        </xdr:cNvSpPr>
      </xdr:nvSpPr>
      <xdr:spPr bwMode="auto">
        <a:xfrm>
          <a:off x="0" y="0"/>
          <a:ext cx="4543425" cy="1143000"/>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1.1 ESTADOS FINANCIEROS</a:t>
          </a:r>
        </a:p>
        <a:p>
          <a:pPr algn="ctr" rtl="0"/>
          <a:endParaRPr lang="es-CR" sz="3600" kern="10" spc="0">
            <a:ln w="9525">
              <a:solidFill>
                <a:srgbClr val="000000"/>
              </a:solidFill>
              <a:round/>
              <a:headEnd/>
              <a:tailEnd/>
            </a:ln>
            <a:solidFill>
              <a:srgbClr val="FF9900"/>
            </a:solidFill>
            <a:effectLst/>
            <a:latin typeface="Marigold"/>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123826</xdr:colOff>
      <xdr:row>0</xdr:row>
      <xdr:rowOff>47624</xdr:rowOff>
    </xdr:from>
    <xdr:to>
      <xdr:col>2</xdr:col>
      <xdr:colOff>657225</xdr:colOff>
      <xdr:row>2</xdr:row>
      <xdr:rowOff>130739</xdr:rowOff>
    </xdr:to>
    <xdr:pic>
      <xdr:nvPicPr>
        <xdr:cNvPr id="4" name="Picture 2" descr="firma_horizontal_negro">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6" y="47624"/>
          <a:ext cx="733424" cy="387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152400</xdr:colOff>
      <xdr:row>0</xdr:row>
      <xdr:rowOff>85725</xdr:rowOff>
    </xdr:from>
    <xdr:to>
      <xdr:col>12</xdr:col>
      <xdr:colOff>1647825</xdr:colOff>
      <xdr:row>2</xdr:row>
      <xdr:rowOff>95250</xdr:rowOff>
    </xdr:to>
    <xdr:pic>
      <xdr:nvPicPr>
        <xdr:cNvPr id="6" name="Picture 1" descr="OEPI-4">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11000" y="85725"/>
          <a:ext cx="14954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47625</xdr:rowOff>
    </xdr:from>
    <xdr:to>
      <xdr:col>8</xdr:col>
      <xdr:colOff>400050</xdr:colOff>
      <xdr:row>17</xdr:row>
      <xdr:rowOff>76200</xdr:rowOff>
    </xdr:to>
    <xdr:sp macro="" textlink="">
      <xdr:nvSpPr>
        <xdr:cNvPr id="2" name="WordArt 2"/>
        <xdr:cNvSpPr>
          <a:spLocks noChangeArrowheads="1" noChangeShapeType="1"/>
        </xdr:cNvSpPr>
      </xdr:nvSpPr>
      <xdr:spPr bwMode="auto">
        <a:xfrm>
          <a:off x="0" y="47625"/>
          <a:ext cx="6496050" cy="2781300"/>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PROYECTOS</a:t>
          </a:r>
        </a:p>
        <a:p>
          <a:pPr algn="ctr" rtl="0"/>
          <a:r>
            <a:rPr lang="es-CR" sz="3600" kern="10" spc="0">
              <a:ln w="9525">
                <a:solidFill>
                  <a:srgbClr val="000000"/>
                </a:solidFill>
                <a:round/>
                <a:headEnd/>
                <a:tailEnd/>
              </a:ln>
              <a:solidFill>
                <a:srgbClr val="FF9900"/>
              </a:solidFill>
              <a:effectLst/>
              <a:latin typeface="Marigold"/>
            </a:rPr>
            <a:t> EN PROCESO DE LICITACIÓN</a:t>
          </a:r>
        </a:p>
        <a:p>
          <a:pPr algn="ctr" rtl="0"/>
          <a:endParaRPr lang="es-CR" sz="3600" kern="10" spc="0">
            <a:ln w="9525">
              <a:solidFill>
                <a:srgbClr val="000000"/>
              </a:solidFill>
              <a:round/>
              <a:headEnd/>
              <a:tailEnd/>
            </a:ln>
            <a:solidFill>
              <a:srgbClr val="FF9900"/>
            </a:solidFill>
            <a:effectLst/>
            <a:latin typeface="Marigold"/>
          </a:endParaRPr>
        </a:p>
        <a:p>
          <a:pPr algn="ctr" rtl="0"/>
          <a:r>
            <a:rPr lang="es-CR" sz="3600" kern="10" spc="0">
              <a:ln w="9525">
                <a:solidFill>
                  <a:srgbClr val="000000"/>
                </a:solidFill>
                <a:round/>
                <a:headEnd/>
                <a:tailEnd/>
              </a:ln>
              <a:solidFill>
                <a:srgbClr val="FF9900"/>
              </a:solidFill>
              <a:effectLst/>
              <a:latin typeface="Marigold"/>
            </a:rPr>
            <a:t>PROGRAMA DE INVERSIONES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142873</xdr:colOff>
      <xdr:row>0</xdr:row>
      <xdr:rowOff>9523</xdr:rowOff>
    </xdr:from>
    <xdr:to>
      <xdr:col>3</xdr:col>
      <xdr:colOff>57150</xdr:colOff>
      <xdr:row>2</xdr:row>
      <xdr:rowOff>95250</xdr:rowOff>
    </xdr:to>
    <xdr:pic>
      <xdr:nvPicPr>
        <xdr:cNvPr id="8" name="Picture 2" descr="firma_horizontal_negro">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3" y="9523"/>
          <a:ext cx="1438277" cy="485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200025</xdr:colOff>
      <xdr:row>0</xdr:row>
      <xdr:rowOff>104775</xdr:rowOff>
    </xdr:from>
    <xdr:to>
      <xdr:col>13</xdr:col>
      <xdr:colOff>1524000</xdr:colOff>
      <xdr:row>2</xdr:row>
      <xdr:rowOff>114300</xdr:rowOff>
    </xdr:to>
    <xdr:pic>
      <xdr:nvPicPr>
        <xdr:cNvPr id="9" name="Picture 1" descr="OEPI-4">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77975" y="104775"/>
          <a:ext cx="13239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47625</xdr:rowOff>
    </xdr:from>
    <xdr:to>
      <xdr:col>8</xdr:col>
      <xdr:colOff>400050</xdr:colOff>
      <xdr:row>17</xdr:row>
      <xdr:rowOff>76200</xdr:rowOff>
    </xdr:to>
    <xdr:sp macro="" textlink="">
      <xdr:nvSpPr>
        <xdr:cNvPr id="2" name="WordArt 2"/>
        <xdr:cNvSpPr>
          <a:spLocks noChangeArrowheads="1" noChangeShapeType="1"/>
        </xdr:cNvSpPr>
      </xdr:nvSpPr>
      <xdr:spPr bwMode="auto">
        <a:xfrm>
          <a:off x="0" y="47625"/>
          <a:ext cx="6496050" cy="2781300"/>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PROYECTOS</a:t>
          </a:r>
        </a:p>
        <a:p>
          <a:pPr algn="ctr" rtl="0"/>
          <a:r>
            <a:rPr lang="es-CR" sz="3600" kern="10" spc="0">
              <a:ln w="9525">
                <a:solidFill>
                  <a:srgbClr val="000000"/>
                </a:solidFill>
                <a:round/>
                <a:headEnd/>
                <a:tailEnd/>
              </a:ln>
              <a:solidFill>
                <a:srgbClr val="FF9900"/>
              </a:solidFill>
              <a:effectLst/>
              <a:latin typeface="Marigold"/>
            </a:rPr>
            <a:t> EN PROCESO DE CONSTRUCCIÓN</a:t>
          </a:r>
        </a:p>
        <a:p>
          <a:pPr algn="ctr" rtl="0"/>
          <a:endParaRPr lang="es-CR" sz="3600" kern="10" spc="0">
            <a:ln w="9525">
              <a:solidFill>
                <a:srgbClr val="000000"/>
              </a:solidFill>
              <a:round/>
              <a:headEnd/>
              <a:tailEnd/>
            </a:ln>
            <a:solidFill>
              <a:srgbClr val="FF9900"/>
            </a:solidFill>
            <a:effectLst/>
            <a:latin typeface="Marigold"/>
          </a:endParaRPr>
        </a:p>
        <a:p>
          <a:pPr algn="ctr" rtl="0"/>
          <a:r>
            <a:rPr lang="es-CR" sz="3600" kern="10" spc="0">
              <a:ln w="9525">
                <a:solidFill>
                  <a:srgbClr val="000000"/>
                </a:solidFill>
                <a:round/>
                <a:headEnd/>
                <a:tailEnd/>
              </a:ln>
              <a:solidFill>
                <a:srgbClr val="FF9900"/>
              </a:solidFill>
              <a:effectLst/>
              <a:latin typeface="Marigold"/>
            </a:rPr>
            <a:t>PROGRAMA DE INVERSIONES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123827</xdr:colOff>
      <xdr:row>0</xdr:row>
      <xdr:rowOff>38100</xdr:rowOff>
    </xdr:from>
    <xdr:to>
      <xdr:col>3</xdr:col>
      <xdr:colOff>9526</xdr:colOff>
      <xdr:row>2</xdr:row>
      <xdr:rowOff>133350</xdr:rowOff>
    </xdr:to>
    <xdr:pic>
      <xdr:nvPicPr>
        <xdr:cNvPr id="4" name="Picture 2" descr="firma_horizontal_negro">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7" y="38100"/>
          <a:ext cx="1800224"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85725</xdr:colOff>
      <xdr:row>0</xdr:row>
      <xdr:rowOff>123826</xdr:rowOff>
    </xdr:from>
    <xdr:to>
      <xdr:col>14</xdr:col>
      <xdr:colOff>1657350</xdr:colOff>
      <xdr:row>2</xdr:row>
      <xdr:rowOff>95250</xdr:rowOff>
    </xdr:to>
    <xdr:pic>
      <xdr:nvPicPr>
        <xdr:cNvPr id="5" name="Picture 1" descr="OEPI-4">
          <a:extLst>
            <a:ext uri="{FF2B5EF4-FFF2-40B4-BE49-F238E27FC236}">
              <a16:creationId xmlns:a16="http://schemas.microsoft.com/office/drawing/2014/main" xmlns=""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916275" y="123826"/>
          <a:ext cx="1571625" cy="361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47625</xdr:rowOff>
    </xdr:from>
    <xdr:to>
      <xdr:col>8</xdr:col>
      <xdr:colOff>400050</xdr:colOff>
      <xdr:row>17</xdr:row>
      <xdr:rowOff>76200</xdr:rowOff>
    </xdr:to>
    <xdr:sp macro="" textlink="">
      <xdr:nvSpPr>
        <xdr:cNvPr id="2" name="WordArt 2"/>
        <xdr:cNvSpPr>
          <a:spLocks noChangeArrowheads="1" noChangeShapeType="1"/>
        </xdr:cNvSpPr>
      </xdr:nvSpPr>
      <xdr:spPr bwMode="auto">
        <a:xfrm>
          <a:off x="0" y="47625"/>
          <a:ext cx="6496050" cy="2781300"/>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PROYECTOS</a:t>
          </a:r>
        </a:p>
        <a:p>
          <a:pPr algn="ctr" rtl="0"/>
          <a:r>
            <a:rPr lang="es-CR" sz="3600" kern="10" spc="0">
              <a:ln w="9525">
                <a:solidFill>
                  <a:srgbClr val="000000"/>
                </a:solidFill>
                <a:round/>
                <a:headEnd/>
                <a:tailEnd/>
              </a:ln>
              <a:solidFill>
                <a:srgbClr val="FF9900"/>
              </a:solidFill>
              <a:effectLst/>
              <a:latin typeface="Marigold"/>
            </a:rPr>
            <a:t>TERMINADOS</a:t>
          </a:r>
          <a:r>
            <a:rPr lang="es-CR" sz="3600" kern="10" spc="0" baseline="0">
              <a:ln w="9525">
                <a:solidFill>
                  <a:srgbClr val="000000"/>
                </a:solidFill>
                <a:round/>
                <a:headEnd/>
                <a:tailEnd/>
              </a:ln>
              <a:solidFill>
                <a:srgbClr val="FF9900"/>
              </a:solidFill>
              <a:effectLst/>
              <a:latin typeface="Marigold"/>
            </a:rPr>
            <a:t> PENDIENTES DE LIQUIDAR</a:t>
          </a:r>
          <a:endParaRPr lang="es-CR" sz="3600" kern="10" spc="0">
            <a:ln w="9525">
              <a:solidFill>
                <a:srgbClr val="000000"/>
              </a:solidFill>
              <a:round/>
              <a:headEnd/>
              <a:tailEnd/>
            </a:ln>
            <a:solidFill>
              <a:srgbClr val="FF9900"/>
            </a:solidFill>
            <a:effectLst/>
            <a:latin typeface="Marigold"/>
          </a:endParaRPr>
        </a:p>
        <a:p>
          <a:pPr algn="ctr" rtl="0"/>
          <a:endParaRPr lang="es-CR" sz="3600" kern="10" spc="0">
            <a:ln w="9525">
              <a:solidFill>
                <a:srgbClr val="000000"/>
              </a:solidFill>
              <a:round/>
              <a:headEnd/>
              <a:tailEnd/>
            </a:ln>
            <a:solidFill>
              <a:srgbClr val="FF9900"/>
            </a:solidFill>
            <a:effectLst/>
            <a:latin typeface="Marigold"/>
          </a:endParaRPr>
        </a:p>
        <a:p>
          <a:pPr algn="ctr" rtl="0"/>
          <a:r>
            <a:rPr lang="es-CR" sz="3600" kern="10" spc="0">
              <a:ln w="9525">
                <a:solidFill>
                  <a:srgbClr val="000000"/>
                </a:solidFill>
                <a:round/>
                <a:headEnd/>
                <a:tailEnd/>
              </a:ln>
              <a:solidFill>
                <a:srgbClr val="FF9900"/>
              </a:solidFill>
              <a:effectLst/>
              <a:latin typeface="Marigold"/>
            </a:rPr>
            <a:t>PROGRAMA DE INVERSIONES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66675</xdr:colOff>
      <xdr:row>0</xdr:row>
      <xdr:rowOff>76200</xdr:rowOff>
    </xdr:from>
    <xdr:to>
      <xdr:col>2</xdr:col>
      <xdr:colOff>552450</xdr:colOff>
      <xdr:row>2</xdr:row>
      <xdr:rowOff>133349</xdr:rowOff>
    </xdr:to>
    <xdr:pic>
      <xdr:nvPicPr>
        <xdr:cNvPr id="4" name="Picture 2" descr="firma_horizontal_negro">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76200"/>
          <a:ext cx="1162050" cy="361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0</xdr:colOff>
      <xdr:row>0</xdr:row>
      <xdr:rowOff>85726</xdr:rowOff>
    </xdr:from>
    <xdr:to>
      <xdr:col>14</xdr:col>
      <xdr:colOff>695325</xdr:colOff>
      <xdr:row>2</xdr:row>
      <xdr:rowOff>142876</xdr:rowOff>
    </xdr:to>
    <xdr:pic>
      <xdr:nvPicPr>
        <xdr:cNvPr id="5" name="Picture 1" descr="OEPI-4">
          <a:extLst>
            <a:ext uri="{FF2B5EF4-FFF2-40B4-BE49-F238E27FC236}">
              <a16:creationId xmlns:a16="http://schemas.microsoft.com/office/drawing/2014/main" xmlns=""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35200" y="85726"/>
          <a:ext cx="6953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720725</xdr:colOff>
      <xdr:row>19</xdr:row>
      <xdr:rowOff>120650</xdr:rowOff>
    </xdr:from>
    <xdr:to>
      <xdr:col>9</xdr:col>
      <xdr:colOff>450850</xdr:colOff>
      <xdr:row>36</xdr:row>
      <xdr:rowOff>149225</xdr:rowOff>
    </xdr:to>
    <xdr:sp macro="" textlink="">
      <xdr:nvSpPr>
        <xdr:cNvPr id="2" name="WordArt 2"/>
        <xdr:cNvSpPr>
          <a:spLocks noChangeArrowheads="1" noChangeShapeType="1"/>
        </xdr:cNvSpPr>
      </xdr:nvSpPr>
      <xdr:spPr bwMode="auto">
        <a:xfrm>
          <a:off x="720725" y="3197225"/>
          <a:ext cx="6245225" cy="2781300"/>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PROYECTOS</a:t>
          </a:r>
        </a:p>
        <a:p>
          <a:pPr algn="ctr" rtl="0"/>
          <a:r>
            <a:rPr lang="es-CR" sz="3600" kern="10" spc="0">
              <a:ln w="9525">
                <a:solidFill>
                  <a:srgbClr val="000000"/>
                </a:solidFill>
                <a:round/>
                <a:headEnd/>
                <a:tailEnd/>
              </a:ln>
              <a:solidFill>
                <a:srgbClr val="FF9900"/>
              </a:solidFill>
              <a:effectLst/>
              <a:latin typeface="Marigold"/>
            </a:rPr>
            <a:t>TERMINADOS</a:t>
          </a:r>
          <a:r>
            <a:rPr lang="es-CR" sz="3600" kern="10" spc="0" baseline="0">
              <a:ln w="9525">
                <a:solidFill>
                  <a:srgbClr val="000000"/>
                </a:solidFill>
                <a:round/>
                <a:headEnd/>
                <a:tailEnd/>
              </a:ln>
              <a:solidFill>
                <a:srgbClr val="FF9900"/>
              </a:solidFill>
              <a:effectLst/>
              <a:latin typeface="Marigold"/>
            </a:rPr>
            <a:t> PERIODO ANTERIOR </a:t>
          </a:r>
          <a:r>
            <a:rPr lang="es-CR" sz="1100" b="0" i="0" u="none" strike="noStrike">
              <a:latin typeface="+mn-lt"/>
              <a:ea typeface="+mn-ea"/>
              <a:cs typeface="+mn-cs"/>
            </a:rPr>
            <a:t> </a:t>
          </a:r>
          <a:endParaRPr lang="es-CR" sz="3600" kern="10" spc="0">
            <a:ln w="9525">
              <a:solidFill>
                <a:srgbClr val="000000"/>
              </a:solidFill>
              <a:round/>
              <a:headEnd/>
              <a:tailEnd/>
            </a:ln>
            <a:solidFill>
              <a:srgbClr val="FF9900"/>
            </a:solidFill>
            <a:effectLst/>
            <a:latin typeface="Marigold"/>
          </a:endParaRPr>
        </a:p>
        <a:p>
          <a:pPr algn="ctr" rtl="0"/>
          <a:endParaRPr lang="es-CR" sz="3600" kern="10" spc="0">
            <a:ln w="9525">
              <a:solidFill>
                <a:srgbClr val="000000"/>
              </a:solidFill>
              <a:round/>
              <a:headEnd/>
              <a:tailEnd/>
            </a:ln>
            <a:solidFill>
              <a:srgbClr val="FF9900"/>
            </a:solidFill>
            <a:effectLst/>
            <a:latin typeface="Marigold"/>
          </a:endParaRPr>
        </a:p>
        <a:p>
          <a:pPr algn="ctr" rtl="0"/>
          <a:r>
            <a:rPr lang="es-CR" sz="3600" kern="10" spc="0">
              <a:ln w="9525">
                <a:solidFill>
                  <a:srgbClr val="000000"/>
                </a:solidFill>
                <a:round/>
                <a:headEnd/>
                <a:tailEnd/>
              </a:ln>
              <a:solidFill>
                <a:srgbClr val="FF9900"/>
              </a:solidFill>
              <a:effectLst/>
              <a:latin typeface="Marigold"/>
            </a:rPr>
            <a:t>PROGRAMA DE INVERSIONES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104776</xdr:colOff>
      <xdr:row>0</xdr:row>
      <xdr:rowOff>57151</xdr:rowOff>
    </xdr:from>
    <xdr:to>
      <xdr:col>2</xdr:col>
      <xdr:colOff>733425</xdr:colOff>
      <xdr:row>2</xdr:row>
      <xdr:rowOff>142875</xdr:rowOff>
    </xdr:to>
    <xdr:pic>
      <xdr:nvPicPr>
        <xdr:cNvPr id="6" name="Picture 2" descr="firma_horizontal_negro">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6" y="57151"/>
          <a:ext cx="1600199" cy="485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981075</xdr:colOff>
      <xdr:row>0</xdr:row>
      <xdr:rowOff>47625</xdr:rowOff>
    </xdr:from>
    <xdr:to>
      <xdr:col>10</xdr:col>
      <xdr:colOff>962025</xdr:colOff>
      <xdr:row>2</xdr:row>
      <xdr:rowOff>123825</xdr:rowOff>
    </xdr:to>
    <xdr:pic>
      <xdr:nvPicPr>
        <xdr:cNvPr id="7" name="Picture 1" descr="OEPI-4">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25150" y="47625"/>
          <a:ext cx="1047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381000</xdr:colOff>
      <xdr:row>97</xdr:row>
      <xdr:rowOff>28575</xdr:rowOff>
    </xdr:from>
    <xdr:to>
      <xdr:col>5</xdr:col>
      <xdr:colOff>1367631</xdr:colOff>
      <xdr:row>102</xdr:row>
      <xdr:rowOff>0</xdr:rowOff>
    </xdr:to>
    <xdr:pic>
      <xdr:nvPicPr>
        <xdr:cNvPr id="5" name="Picture 80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185" t="77269" r="13467" b="8330"/>
        <a:stretch>
          <a:fillRect/>
        </a:stretch>
      </xdr:blipFill>
      <xdr:spPr bwMode="auto">
        <a:xfrm>
          <a:off x="6515100" y="17849850"/>
          <a:ext cx="986631"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561975</xdr:colOff>
      <xdr:row>7</xdr:row>
      <xdr:rowOff>9525</xdr:rowOff>
    </xdr:to>
    <xdr:sp macro="" textlink="">
      <xdr:nvSpPr>
        <xdr:cNvPr id="2" name="WordArt 1"/>
        <xdr:cNvSpPr>
          <a:spLocks noChangeArrowheads="1" noChangeShapeType="1"/>
        </xdr:cNvSpPr>
      </xdr:nvSpPr>
      <xdr:spPr bwMode="auto">
        <a:xfrm>
          <a:off x="47625" y="0"/>
          <a:ext cx="5086350" cy="1143000"/>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1.2</a:t>
          </a:r>
          <a:r>
            <a:rPr lang="es-CR" sz="3600" kern="10" spc="0" baseline="0">
              <a:ln w="9525">
                <a:solidFill>
                  <a:srgbClr val="000000"/>
                </a:solidFill>
                <a:round/>
                <a:headEnd/>
                <a:tailEnd/>
              </a:ln>
              <a:solidFill>
                <a:srgbClr val="FF9900"/>
              </a:solidFill>
              <a:effectLst/>
              <a:latin typeface="Marigold"/>
            </a:rPr>
            <a:t> INFORME DE SITUACIÓN PRESUPUESTARIA</a:t>
          </a:r>
          <a:endParaRPr lang="es-CR" sz="3600" kern="10" spc="0">
            <a:ln w="9525">
              <a:solidFill>
                <a:srgbClr val="000000"/>
              </a:solidFill>
              <a:round/>
              <a:headEnd/>
              <a:tailEnd/>
            </a:ln>
            <a:solidFill>
              <a:srgbClr val="FF9900"/>
            </a:solidFill>
            <a:effectLst/>
            <a:latin typeface="Marigold"/>
          </a:endParaRPr>
        </a:p>
        <a:p>
          <a:pPr algn="ctr" rtl="0"/>
          <a:endParaRPr lang="es-CR" sz="3600" kern="10" spc="0">
            <a:ln w="9525">
              <a:solidFill>
                <a:srgbClr val="000000"/>
              </a:solidFill>
              <a:round/>
              <a:headEnd/>
              <a:tailEnd/>
            </a:ln>
            <a:solidFill>
              <a:srgbClr val="FF9900"/>
            </a:solidFill>
            <a:effectLst/>
            <a:latin typeface="Marigold"/>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409575</xdr:colOff>
      <xdr:row>1</xdr:row>
      <xdr:rowOff>0</xdr:rowOff>
    </xdr:from>
    <xdr:to>
      <xdr:col>0</xdr:col>
      <xdr:colOff>409575</xdr:colOff>
      <xdr:row>1</xdr:row>
      <xdr:rowOff>0</xdr:rowOff>
    </xdr:to>
    <xdr:sp macro="" textlink="">
      <xdr:nvSpPr>
        <xdr:cNvPr id="45015" name="Line 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5017" name="Line 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45020" name="Line 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5023" name="Line 1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5025" name="Line 1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5027" name="Line 1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45030" name="Line 1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5033" name="Line 2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5035" name="Line 2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5037" name="Line 2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45040" name="Line 2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5043" name="Line 3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5045" name="Line 3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5047" name="Line 3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45050" name="Line 3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5053" name="Line 4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5055" name="Line 4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6561" name="Line 4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66564" name="Line 4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6567" name="Line 5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6569" name="Line 5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6571" name="Line 5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66574" name="Line 5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6577" name="Line 6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6579" name="Line 6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6581" name="Line 6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66584" name="Line 6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6587" name="Line 7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3" name="Line 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5" name="Line 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78" name="Line 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81" name="Line 1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83" name="Line 1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85" name="Line 1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88" name="Line 1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91" name="Line 2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93" name="Line 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95" name="Line 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98" name="Line 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01" name="Line 1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03" name="Line 1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05" name="Line 1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08" name="Line 1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11" name="Line 2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13" name="Line 2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15" name="Line 2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18" name="Line 2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21" name="Line 3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23" name="Line 3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25" name="Line 3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28" name="Line 3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31" name="Line 4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33" name="Line 4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35" name="Line 4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38" name="Line 4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41" name="Line 5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43" name="Line 5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45" name="Line 5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48" name="Line 5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51" name="Line 6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53" name="Line 6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55" name="Line 6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58" name="Line 6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61" name="Line 7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63" name="Line 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65" name="Line 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68" name="Line 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71" name="Line 1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73" name="Line 1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75" name="Line 1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78" name="Line 1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81" name="Line 2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83" name="Line 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85" name="Line 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88" name="Line 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91" name="Line 1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93" name="Line 1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95" name="Line 1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98" name="Line 1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01" name="Line 2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03" name="Line 2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05" name="Line 2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08" name="Line 2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11" name="Line 3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13" name="Line 3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15" name="Line 3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18" name="Line 3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21" name="Line 4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23" name="Line 4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25" name="Line 4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28" name="Line 4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31" name="Line 5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33" name="Line 5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35" name="Line 5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38" name="Line 5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41" name="Line 6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43" name="Line 6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45" name="Line 6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48" name="Line 6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51" name="Line 7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53" name="Line 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55" name="Line 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58" name="Line 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61" name="Line 1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63" name="Line 1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65" name="Line 1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68" name="Line 1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71" name="Line 2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73" name="Line 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75" name="Line 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78" name="Line 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81" name="Line 1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83" name="Line 1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85" name="Line 1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88" name="Line 1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91" name="Line 2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93" name="Line 2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95" name="Line 2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98" name="Line 2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01" name="Line 3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03" name="Line 3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05" name="Line 3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08" name="Line 3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11" name="Line 4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13" name="Line 4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15" name="Line 4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18" name="Line 4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21" name="Line 5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23" name="Line 5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25" name="Line 5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28" name="Line 5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31" name="Line 6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33" name="Line 6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35" name="Line 6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38" name="Line 6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41" name="Line 7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43" name="Line 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45" name="Line 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48" name="Line 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51" name="Line 1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53" name="Line 1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55" name="Line 1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58" name="Line 1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1" name="Line 2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3" name="Line 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5" name="Line 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68" name="Line 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1" name="Line 1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3" name="Line 1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5" name="Line 1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78" name="Line 1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1" name="Line 2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3" name="Line 2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5" name="Line 2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88" name="Line 2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1" name="Line 3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3" name="Line 3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5" name="Line 3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98" name="Line 3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01" name="Line 4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03" name="Line 4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05" name="Line 4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408" name="Line 4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11" name="Line 5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13" name="Line 5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15" name="Line 5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418" name="Line 5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21" name="Line 6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23" name="Line 6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25" name="Line 6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428" name="Line 6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31" name="Line 7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33" name="Line 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35" name="Line 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438" name="Line 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41" name="Line 1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43" name="Line 1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45" name="Line 1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448" name="Line 1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51" name="Line 2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53" name="Line 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55" name="Line 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458" name="Line 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61" name="Line 1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63" name="Line 1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65" name="Line 1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468" name="Line 1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71" name="Line 2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73" name="Line 2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75" name="Line 2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478" name="Line 2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81" name="Line 3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83" name="Line 3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85" name="Line 3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488" name="Line 3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91" name="Line 4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93" name="Line 4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95" name="Line 4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498" name="Line 4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01" name="Line 5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03" name="Line 5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05" name="Line 5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508" name="Line 5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11" name="Line 6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13" name="Line 6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15" name="Line 6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518" name="Line 6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21" name="Line 7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23" name="Line 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25" name="Line 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528" name="Line 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31" name="Line 1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33" name="Line 1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35" name="Line 1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538" name="Line 1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41" name="Line 2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43" name="Line 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45" name="Line 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548" name="Line 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51" name="Line 1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53" name="Line 1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55" name="Line 1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558" name="Line 1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61" name="Line 2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63" name="Line 2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65" name="Line 2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568" name="Line 2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71" name="Line 3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73" name="Line 3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75" name="Line 3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578" name="Line 3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81" name="Line 4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83" name="Line 4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85" name="Line 4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588" name="Line 4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91" name="Line 5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93" name="Line 5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95" name="Line 5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598" name="Line 5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01" name="Line 6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03" name="Line 6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05" name="Line 6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608" name="Line 6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11" name="Line 7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13" name="Line 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15" name="Line 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618" name="Line 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21" name="Line 1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23" name="Line 1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25" name="Line 1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628" name="Line 1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31" name="Line 2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33" name="Line 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35" name="Line 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638" name="Line 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41" name="Line 1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43" name="Line 1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45" name="Line 1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648" name="Line 1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51" name="Line 2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53" name="Line 2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55" name="Line 2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658" name="Line 2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61" name="Line 3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63" name="Line 3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65" name="Line 3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668" name="Line 3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71" name="Line 4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73" name="Line 4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75" name="Line 4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678" name="Line 4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81" name="Line 5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83" name="Line 5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85" name="Line 5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688" name="Line 5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91" name="Line 6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93" name="Line 6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95" name="Line 6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698" name="Line 6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01" name="Line 7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03" name="Line 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05" name="Line 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708" name="Line 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11" name="Line 1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13" name="Line 1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15" name="Line 1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718" name="Line 1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21" name="Line 2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23" name="Line 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25" name="Line 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728" name="Line 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31" name="Line 1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33" name="Line 1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35" name="Line 1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738" name="Line 1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41" name="Line 2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43" name="Line 2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45" name="Line 2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748" name="Line 2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51" name="Line 3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53" name="Line 3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55" name="Line 3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758" name="Line 3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61" name="Line 4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63" name="Line 4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65" name="Line 4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768" name="Line 4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71" name="Line 5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73" name="Line 5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75" name="Line 5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778" name="Line 5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81" name="Line 6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83" name="Line 6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85" name="Line 6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788" name="Line 6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91" name="Line 7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93" name="Line 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95" name="Line 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798" name="Line 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801" name="Line 1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803" name="Line 13"/>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805" name="Line 15"/>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808" name="Line 18"/>
        <xdr:cNvSpPr>
          <a:spLocks noChangeShapeType="1"/>
        </xdr:cNvSpPr>
      </xdr:nvSpPr>
      <xdr:spPr bwMode="auto">
        <a:xfrm flipH="1">
          <a:off x="1552575" y="48577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811" name="Line 21"/>
        <xdr:cNvSpPr>
          <a:spLocks noChangeShapeType="1"/>
        </xdr:cNvSpPr>
      </xdr:nvSpPr>
      <xdr:spPr bwMode="auto">
        <a:xfrm flipH="1">
          <a:off x="409575" y="485775"/>
          <a:ext cx="0" cy="0"/>
        </a:xfrm>
        <a:prstGeom prst="line">
          <a:avLst/>
        </a:prstGeom>
        <a:noFill/>
        <a:ln w="19050">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13" name="Line 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15" name="Line 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18" name="Line 1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20" name="Line 1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22" name="Line 1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25" name="Line 2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27" name="Line 2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29" name="Line 2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32" name="Line 3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34" name="Line 3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36" name="Line 3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39" name="Line 4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41" name="Line 4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43" name="Line 4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46" name="Line 5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48" name="Line 5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50" name="Line 5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53" name="Line 6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55" name="Line 6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57" name="Line 6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60" name="Line 7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62" name="Line 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64" name="Line 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67" name="Line 1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69" name="Line 1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71" name="Line 1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74" name="Line 2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76" name="Line 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78" name="Line 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81" name="Line 1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83" name="Line 1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85" name="Line 1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88" name="Line 2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90" name="Line 2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92" name="Line 2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95" name="Line 3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97" name="Line 3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899" name="Line 3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02" name="Line 4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04" name="Line 4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06" name="Line 4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09" name="Line 5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11" name="Line 5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13" name="Line 5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16" name="Line 6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18" name="Line 6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20" name="Line 6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23" name="Line 7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25" name="Line 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27" name="Line 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30" name="Line 1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32" name="Line 1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34" name="Line 1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37" name="Line 2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39" name="Line 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41" name="Line 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44" name="Line 1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46" name="Line 1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48" name="Line 1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51" name="Line 2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53" name="Line 2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55" name="Line 2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58" name="Line 3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60" name="Line 3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62" name="Line 3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65" name="Line 4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67" name="Line 4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69" name="Line 4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72" name="Line 5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74" name="Line 5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76" name="Line 5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79" name="Line 6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81" name="Line 6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83" name="Line 6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86" name="Line 7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88" name="Line 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90" name="Line 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93" name="Line 1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95" name="Line 1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997" name="Line 1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00" name="Line 2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02" name="Line 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04" name="Line 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07" name="Line 1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09" name="Line 1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11" name="Line 1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14" name="Line 2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16" name="Line 2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18" name="Line 2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21" name="Line 3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23" name="Line 3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25" name="Line 3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28" name="Line 4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30" name="Line 4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32" name="Line 4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35" name="Line 5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37" name="Line 5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39" name="Line 5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42" name="Line 6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44" name="Line 6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46" name="Line 6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49" name="Line 7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51" name="Line 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53" name="Line 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56" name="Line 1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58" name="Line 1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60" name="Line 1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63" name="Line 2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65" name="Line 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67" name="Line 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70" name="Line 1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72" name="Line 1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74" name="Line 1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77" name="Line 2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79" name="Line 2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81" name="Line 2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84" name="Line 3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86" name="Line 3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88" name="Line 3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91" name="Line 4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93" name="Line 4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95" name="Line 4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098" name="Line 5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100" name="Line 5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102" name="Line 5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105" name="Line 6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107" name="Line 6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109" name="Line 6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112" name="Line 7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114" name="Line 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116" name="Line 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119" name="Line 1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121" name="Line 13"/>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123" name="Line 15"/>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1126" name="Line 21"/>
        <xdr:cNvSpPr>
          <a:spLocks noChangeArrowheads="1"/>
        </xdr:cNvSpPr>
      </xdr:nvSpPr>
      <xdr:spPr bwMode="auto">
        <a:xfrm>
          <a:off x="409575" y="47625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editAs="oneCell">
    <xdr:from>
      <xdr:col>0</xdr:col>
      <xdr:colOff>436320</xdr:colOff>
      <xdr:row>1</xdr:row>
      <xdr:rowOff>0</xdr:rowOff>
    </xdr:from>
    <xdr:to>
      <xdr:col>0</xdr:col>
      <xdr:colOff>436320</xdr:colOff>
      <xdr:row>1</xdr:row>
      <xdr:rowOff>0</xdr:rowOff>
    </xdr:to>
    <xdr:sp macro="" textlink="">
      <xdr:nvSpPr>
        <xdr:cNvPr id="1127" name="1 "/>
        <xdr:cNvSpPr/>
      </xdr:nvSpPr>
      <xdr:spPr>
        <a:xfrm>
          <a:off x="436320" y="4962525"/>
          <a:ext cx="0" cy="0"/>
        </a:xfrm>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6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6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7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7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72"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73"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74"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75"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7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7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7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7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8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8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8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8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8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8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8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8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8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8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9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9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9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9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9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9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9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9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9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9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0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0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0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0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0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0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0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0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0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0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1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1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1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1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1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1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1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1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1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1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2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2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2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2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2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2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2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2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2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2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3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3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3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3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3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3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3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3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3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3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4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4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4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4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4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4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4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4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4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4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5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5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5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5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5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5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5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5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5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5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6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6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6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6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6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6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6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6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6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6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7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7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7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7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7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7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7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7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7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7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8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8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8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8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8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8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8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8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8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8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9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9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9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9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9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9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9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9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9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9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0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0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0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0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0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0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0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0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0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0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1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1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1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1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1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1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1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1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1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1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2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2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2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2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2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2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2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2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2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2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3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3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32"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33"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34"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35"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3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3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3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3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4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4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4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4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4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4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4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4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4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4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5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5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5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5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5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5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5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5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5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5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6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6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6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6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6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6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6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6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6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6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7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7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7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7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7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7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7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7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7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7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8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8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8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8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8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8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8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8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8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8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9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9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9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9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9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9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9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9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9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9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0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0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0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0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0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0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0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0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0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0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1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1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1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1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1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1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1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1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1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1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2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2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2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2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2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2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2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2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2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2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3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3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3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3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3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3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3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3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3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3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4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4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4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4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4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4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4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4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4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4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5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5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5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5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5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5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5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5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5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5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6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6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6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6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6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6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6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6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6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6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7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7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7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7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7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7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7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7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7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7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8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8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8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8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8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8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8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8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8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8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9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9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92"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93"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94"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95"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9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9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9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9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0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0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0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0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0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0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0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0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0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0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1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1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1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1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1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1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1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1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1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1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2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2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2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2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2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2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2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2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2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2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3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3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3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3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3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3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3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3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3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3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4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4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4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4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4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4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4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4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4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4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5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5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5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5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5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5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5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5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5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5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6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6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6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6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6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6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6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6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6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6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7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7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7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7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7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7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7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7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7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7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8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8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8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8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8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8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8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8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8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8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9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9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9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9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9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9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9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9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9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9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0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0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0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0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0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0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0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0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0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0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1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1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1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1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1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1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1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1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1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1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2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2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2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2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2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2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2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2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2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2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3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3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3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3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3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3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3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3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3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3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4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4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4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4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4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4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4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4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4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4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5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5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52"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53"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54"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55"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5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5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5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5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6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6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6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6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6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6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6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6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6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6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7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7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7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7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7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7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7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7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7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7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8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8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8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8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8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8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8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8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8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8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9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9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9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9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9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9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9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9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9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9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0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0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0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0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0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0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0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0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0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0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1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1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1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1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1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1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1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1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1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1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2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2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2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2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2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2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2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2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2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2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3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3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3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3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3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3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3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3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3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3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4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4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4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4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4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4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4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4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4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4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5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5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5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5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5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5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5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5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5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5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6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6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6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6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6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6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6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6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6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6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7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7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7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7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7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7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7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7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7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7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8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8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8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8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8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8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8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8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8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8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9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9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9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9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9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9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9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9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9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9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0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0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0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0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0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0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0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0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742950</xdr:colOff>
      <xdr:row>6</xdr:row>
      <xdr:rowOff>152400</xdr:rowOff>
    </xdr:to>
    <xdr:sp macro="" textlink="">
      <xdr:nvSpPr>
        <xdr:cNvPr id="25602" name="WordArt 2"/>
        <xdr:cNvSpPr>
          <a:spLocks noChangeArrowheads="1" noChangeShapeType="1"/>
        </xdr:cNvSpPr>
      </xdr:nvSpPr>
      <xdr:spPr bwMode="auto">
        <a:xfrm>
          <a:off x="0" y="0"/>
          <a:ext cx="4552950" cy="1123950"/>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II.</a:t>
          </a:r>
          <a:r>
            <a:rPr lang="es-CR" sz="3600" kern="10" spc="0" baseline="0">
              <a:ln w="9525">
                <a:solidFill>
                  <a:srgbClr val="000000"/>
                </a:solidFill>
                <a:round/>
                <a:headEnd/>
                <a:tailEnd/>
              </a:ln>
              <a:solidFill>
                <a:srgbClr val="FF9900"/>
              </a:solidFill>
              <a:effectLst/>
              <a:latin typeface="Marigold"/>
            </a:rPr>
            <a:t> NOTAS A LOS ESTADOS FINANCIEROS</a:t>
          </a:r>
        </a:p>
        <a:p>
          <a:pPr algn="ctr" rtl="0"/>
          <a:endParaRPr lang="es-CR" sz="3600" kern="10" spc="0">
            <a:ln w="9525">
              <a:solidFill>
                <a:srgbClr val="000000"/>
              </a:solidFill>
              <a:round/>
              <a:headEnd/>
              <a:tailEnd/>
            </a:ln>
            <a:solidFill>
              <a:srgbClr val="FF9900"/>
            </a:solidFill>
            <a:effectLst/>
            <a:latin typeface="Marigold"/>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31750</xdr:colOff>
      <xdr:row>0</xdr:row>
      <xdr:rowOff>1</xdr:rowOff>
    </xdr:from>
    <xdr:to>
      <xdr:col>6</xdr:col>
      <xdr:colOff>709337</xdr:colOff>
      <xdr:row>44</xdr:row>
      <xdr:rowOff>15875</xdr:rowOff>
    </xdr:to>
    <xdr:pic>
      <xdr:nvPicPr>
        <xdr:cNvPr id="9" name="Imagen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 y="1"/>
          <a:ext cx="5249587" cy="7000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47624</xdr:colOff>
      <xdr:row>0</xdr:row>
      <xdr:rowOff>0</xdr:rowOff>
    </xdr:from>
    <xdr:to>
      <xdr:col>13</xdr:col>
      <xdr:colOff>730249</xdr:colOff>
      <xdr:row>44</xdr:row>
      <xdr:rowOff>1206</xdr:rowOff>
    </xdr:to>
    <xdr:pic>
      <xdr:nvPicPr>
        <xdr:cNvPr id="16" name="Imagen 1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81624" y="0"/>
          <a:ext cx="5254625" cy="6986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47625</xdr:colOff>
      <xdr:row>0</xdr:row>
      <xdr:rowOff>1</xdr:rowOff>
    </xdr:from>
    <xdr:to>
      <xdr:col>20</xdr:col>
      <xdr:colOff>716363</xdr:colOff>
      <xdr:row>39</xdr:row>
      <xdr:rowOff>127000</xdr:rowOff>
    </xdr:to>
    <xdr:pic>
      <xdr:nvPicPr>
        <xdr:cNvPr id="17" name="Imagen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15625" y="1"/>
          <a:ext cx="5240738" cy="6318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47625</xdr:colOff>
      <xdr:row>0</xdr:row>
      <xdr:rowOff>0</xdr:rowOff>
    </xdr:from>
    <xdr:to>
      <xdr:col>27</xdr:col>
      <xdr:colOff>730250</xdr:colOff>
      <xdr:row>43</xdr:row>
      <xdr:rowOff>42687</xdr:rowOff>
    </xdr:to>
    <xdr:pic>
      <xdr:nvPicPr>
        <xdr:cNvPr id="18" name="Imagen 1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049625" y="0"/>
          <a:ext cx="5254625" cy="68689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47626</xdr:colOff>
      <xdr:row>0</xdr:row>
      <xdr:rowOff>31750</xdr:rowOff>
    </xdr:from>
    <xdr:to>
      <xdr:col>48</xdr:col>
      <xdr:colOff>718544</xdr:colOff>
      <xdr:row>43</xdr:row>
      <xdr:rowOff>31750</xdr:rowOff>
    </xdr:to>
    <xdr:pic>
      <xdr:nvPicPr>
        <xdr:cNvPr id="22" name="Imagen 2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2051626" y="31750"/>
          <a:ext cx="5242918" cy="682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31751</xdr:colOff>
      <xdr:row>0</xdr:row>
      <xdr:rowOff>0</xdr:rowOff>
    </xdr:from>
    <xdr:to>
      <xdr:col>34</xdr:col>
      <xdr:colOff>719095</xdr:colOff>
      <xdr:row>45</xdr:row>
      <xdr:rowOff>63500</xdr:rowOff>
    </xdr:to>
    <xdr:pic>
      <xdr:nvPicPr>
        <xdr:cNvPr id="10" name="Imagen 9"/>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367751" y="0"/>
          <a:ext cx="5259344" cy="720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31750</xdr:colOff>
      <xdr:row>0</xdr:row>
      <xdr:rowOff>1</xdr:rowOff>
    </xdr:from>
    <xdr:to>
      <xdr:col>41</xdr:col>
      <xdr:colOff>744113</xdr:colOff>
      <xdr:row>40</xdr:row>
      <xdr:rowOff>63501</xdr:rowOff>
    </xdr:to>
    <xdr:pic>
      <xdr:nvPicPr>
        <xdr:cNvPr id="12" name="Imagen 1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701750" y="1"/>
          <a:ext cx="5284363" cy="641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queryTables/queryTable1.xml><?xml version="1.0" encoding="utf-8"?>
<queryTable xmlns="http://schemas.openxmlformats.org/spreadsheetml/2006/main" name="_F50RE180" growShrinkType="overwriteClear" connectionId="1"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_F50RE180_1" growShrinkType="overwriteClear" connectionId="2"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queryTable" Target="../queryTables/queryTable1.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4.xml"/><Relationship Id="rId1" Type="http://schemas.openxmlformats.org/officeDocument/2006/relationships/printerSettings" Target="../printerSettings/printerSettings70.bin"/><Relationship Id="rId4" Type="http://schemas.openxmlformats.org/officeDocument/2006/relationships/comments" Target="../comments5.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6.xml"/><Relationship Id="rId1" Type="http://schemas.openxmlformats.org/officeDocument/2006/relationships/printerSettings" Target="../printerSettings/printerSettings72.bin"/><Relationship Id="rId4" Type="http://schemas.openxmlformats.org/officeDocument/2006/relationships/comments" Target="../comments6.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8.xml"/><Relationship Id="rId1" Type="http://schemas.openxmlformats.org/officeDocument/2006/relationships/printerSettings" Target="../printerSettings/printerSettings74.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D50"/>
  <sheetViews>
    <sheetView tabSelected="1" workbookViewId="0">
      <selection activeCell="L5" sqref="L5"/>
    </sheetView>
  </sheetViews>
  <sheetFormatPr baseColWidth="10" defaultRowHeight="12.75" x14ac:dyDescent="0.2"/>
  <sheetData>
    <row r="50" spans="4:4" ht="15" x14ac:dyDescent="0.25">
      <c r="D50" s="12"/>
    </row>
  </sheetData>
  <phoneticPr fontId="0" type="noConversion"/>
  <printOptions horizontalCentered="1"/>
  <pageMargins left="0.59055118110236227" right="0.59055118110236227" top="0.98425196850393704" bottom="0.98425196850393704" header="0" footer="0"/>
  <pageSetup paperSize="9" scale="95" firstPageNumber="7" orientation="portrait" r:id="rId1"/>
  <headerFooter alignWithMargins="0">
    <oddHeader xml:space="preserve">&amp;R&amp;"Arial,Negrita"
</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159"/>
  <sheetViews>
    <sheetView topLeftCell="A141" workbookViewId="0">
      <selection activeCell="F169" sqref="F169"/>
    </sheetView>
  </sheetViews>
  <sheetFormatPr baseColWidth="10" defaultColWidth="10.7109375" defaultRowHeight="12" x14ac:dyDescent="0.2"/>
  <cols>
    <col min="1" max="1" width="70.85546875" style="425" customWidth="1"/>
    <col min="2" max="2" width="19.42578125" style="425" bestFit="1" customWidth="1"/>
    <col min="3" max="3" width="11.7109375" style="444" customWidth="1"/>
    <col min="4" max="4" width="19.42578125" style="445" bestFit="1" customWidth="1"/>
    <col min="5" max="252" width="10.7109375" style="425"/>
    <col min="253" max="253" width="54.7109375" style="425" customWidth="1"/>
    <col min="254" max="255" width="16.28515625" style="425" customWidth="1"/>
    <col min="256" max="508" width="10.7109375" style="425"/>
    <col min="509" max="509" width="54.7109375" style="425" customWidth="1"/>
    <col min="510" max="511" width="16.28515625" style="425" customWidth="1"/>
    <col min="512" max="764" width="10.7109375" style="425"/>
    <col min="765" max="765" width="54.7109375" style="425" customWidth="1"/>
    <col min="766" max="767" width="16.28515625" style="425" customWidth="1"/>
    <col min="768" max="1020" width="10.7109375" style="425"/>
    <col min="1021" max="1021" width="54.7109375" style="425" customWidth="1"/>
    <col min="1022" max="1023" width="16.28515625" style="425" customWidth="1"/>
    <col min="1024" max="1276" width="10.7109375" style="425"/>
    <col min="1277" max="1277" width="54.7109375" style="425" customWidth="1"/>
    <col min="1278" max="1279" width="16.28515625" style="425" customWidth="1"/>
    <col min="1280" max="1532" width="10.7109375" style="425"/>
    <col min="1533" max="1533" width="54.7109375" style="425" customWidth="1"/>
    <col min="1534" max="1535" width="16.28515625" style="425" customWidth="1"/>
    <col min="1536" max="1788" width="10.7109375" style="425"/>
    <col min="1789" max="1789" width="54.7109375" style="425" customWidth="1"/>
    <col min="1790" max="1791" width="16.28515625" style="425" customWidth="1"/>
    <col min="1792" max="2044" width="10.7109375" style="425"/>
    <col min="2045" max="2045" width="54.7109375" style="425" customWidth="1"/>
    <col min="2046" max="2047" width="16.28515625" style="425" customWidth="1"/>
    <col min="2048" max="2300" width="10.7109375" style="425"/>
    <col min="2301" max="2301" width="54.7109375" style="425" customWidth="1"/>
    <col min="2302" max="2303" width="16.28515625" style="425" customWidth="1"/>
    <col min="2304" max="2556" width="10.7109375" style="425"/>
    <col min="2557" max="2557" width="54.7109375" style="425" customWidth="1"/>
    <col min="2558" max="2559" width="16.28515625" style="425" customWidth="1"/>
    <col min="2560" max="2812" width="10.7109375" style="425"/>
    <col min="2813" max="2813" width="54.7109375" style="425" customWidth="1"/>
    <col min="2814" max="2815" width="16.28515625" style="425" customWidth="1"/>
    <col min="2816" max="3068" width="10.7109375" style="425"/>
    <col min="3069" max="3069" width="54.7109375" style="425" customWidth="1"/>
    <col min="3070" max="3071" width="16.28515625" style="425" customWidth="1"/>
    <col min="3072" max="3324" width="10.7109375" style="425"/>
    <col min="3325" max="3325" width="54.7109375" style="425" customWidth="1"/>
    <col min="3326" max="3327" width="16.28515625" style="425" customWidth="1"/>
    <col min="3328" max="3580" width="10.7109375" style="425"/>
    <col min="3581" max="3581" width="54.7109375" style="425" customWidth="1"/>
    <col min="3582" max="3583" width="16.28515625" style="425" customWidth="1"/>
    <col min="3584" max="3836" width="10.7109375" style="425"/>
    <col min="3837" max="3837" width="54.7109375" style="425" customWidth="1"/>
    <col min="3838" max="3839" width="16.28515625" style="425" customWidth="1"/>
    <col min="3840" max="4092" width="10.7109375" style="425"/>
    <col min="4093" max="4093" width="54.7109375" style="425" customWidth="1"/>
    <col min="4094" max="4095" width="16.28515625" style="425" customWidth="1"/>
    <col min="4096" max="4348" width="10.7109375" style="425"/>
    <col min="4349" max="4349" width="54.7109375" style="425" customWidth="1"/>
    <col min="4350" max="4351" width="16.28515625" style="425" customWidth="1"/>
    <col min="4352" max="4604" width="10.7109375" style="425"/>
    <col min="4605" max="4605" width="54.7109375" style="425" customWidth="1"/>
    <col min="4606" max="4607" width="16.28515625" style="425" customWidth="1"/>
    <col min="4608" max="4860" width="10.7109375" style="425"/>
    <col min="4861" max="4861" width="54.7109375" style="425" customWidth="1"/>
    <col min="4862" max="4863" width="16.28515625" style="425" customWidth="1"/>
    <col min="4864" max="5116" width="10.7109375" style="425"/>
    <col min="5117" max="5117" width="54.7109375" style="425" customWidth="1"/>
    <col min="5118" max="5119" width="16.28515625" style="425" customWidth="1"/>
    <col min="5120" max="5372" width="10.7109375" style="425"/>
    <col min="5373" max="5373" width="54.7109375" style="425" customWidth="1"/>
    <col min="5374" max="5375" width="16.28515625" style="425" customWidth="1"/>
    <col min="5376" max="5628" width="10.7109375" style="425"/>
    <col min="5629" max="5629" width="54.7109375" style="425" customWidth="1"/>
    <col min="5630" max="5631" width="16.28515625" style="425" customWidth="1"/>
    <col min="5632" max="5884" width="10.7109375" style="425"/>
    <col min="5885" max="5885" width="54.7109375" style="425" customWidth="1"/>
    <col min="5886" max="5887" width="16.28515625" style="425" customWidth="1"/>
    <col min="5888" max="6140" width="10.7109375" style="425"/>
    <col min="6141" max="6141" width="54.7109375" style="425" customWidth="1"/>
    <col min="6142" max="6143" width="16.28515625" style="425" customWidth="1"/>
    <col min="6144" max="6396" width="10.7109375" style="425"/>
    <col min="6397" max="6397" width="54.7109375" style="425" customWidth="1"/>
    <col min="6398" max="6399" width="16.28515625" style="425" customWidth="1"/>
    <col min="6400" max="6652" width="10.7109375" style="425"/>
    <col min="6653" max="6653" width="54.7109375" style="425" customWidth="1"/>
    <col min="6654" max="6655" width="16.28515625" style="425" customWidth="1"/>
    <col min="6656" max="6908" width="10.7109375" style="425"/>
    <col min="6909" max="6909" width="54.7109375" style="425" customWidth="1"/>
    <col min="6910" max="6911" width="16.28515625" style="425" customWidth="1"/>
    <col min="6912" max="7164" width="10.7109375" style="425"/>
    <col min="7165" max="7165" width="54.7109375" style="425" customWidth="1"/>
    <col min="7166" max="7167" width="16.28515625" style="425" customWidth="1"/>
    <col min="7168" max="7420" width="10.7109375" style="425"/>
    <col min="7421" max="7421" width="54.7109375" style="425" customWidth="1"/>
    <col min="7422" max="7423" width="16.28515625" style="425" customWidth="1"/>
    <col min="7424" max="7676" width="10.7109375" style="425"/>
    <col min="7677" max="7677" width="54.7109375" style="425" customWidth="1"/>
    <col min="7678" max="7679" width="16.28515625" style="425" customWidth="1"/>
    <col min="7680" max="7932" width="10.7109375" style="425"/>
    <col min="7933" max="7933" width="54.7109375" style="425" customWidth="1"/>
    <col min="7934" max="7935" width="16.28515625" style="425" customWidth="1"/>
    <col min="7936" max="8188" width="10.7109375" style="425"/>
    <col min="8189" max="8189" width="54.7109375" style="425" customWidth="1"/>
    <col min="8190" max="8191" width="16.28515625" style="425" customWidth="1"/>
    <col min="8192" max="8444" width="10.7109375" style="425"/>
    <col min="8445" max="8445" width="54.7109375" style="425" customWidth="1"/>
    <col min="8446" max="8447" width="16.28515625" style="425" customWidth="1"/>
    <col min="8448" max="8700" width="10.7109375" style="425"/>
    <col min="8701" max="8701" width="54.7109375" style="425" customWidth="1"/>
    <col min="8702" max="8703" width="16.28515625" style="425" customWidth="1"/>
    <col min="8704" max="8956" width="10.7109375" style="425"/>
    <col min="8957" max="8957" width="54.7109375" style="425" customWidth="1"/>
    <col min="8958" max="8959" width="16.28515625" style="425" customWidth="1"/>
    <col min="8960" max="9212" width="10.7109375" style="425"/>
    <col min="9213" max="9213" width="54.7109375" style="425" customWidth="1"/>
    <col min="9214" max="9215" width="16.28515625" style="425" customWidth="1"/>
    <col min="9216" max="9468" width="10.7109375" style="425"/>
    <col min="9469" max="9469" width="54.7109375" style="425" customWidth="1"/>
    <col min="9470" max="9471" width="16.28515625" style="425" customWidth="1"/>
    <col min="9472" max="9724" width="10.7109375" style="425"/>
    <col min="9725" max="9725" width="54.7109375" style="425" customWidth="1"/>
    <col min="9726" max="9727" width="16.28515625" style="425" customWidth="1"/>
    <col min="9728" max="9980" width="10.7109375" style="425"/>
    <col min="9981" max="9981" width="54.7109375" style="425" customWidth="1"/>
    <col min="9982" max="9983" width="16.28515625" style="425" customWidth="1"/>
    <col min="9984" max="10236" width="10.7109375" style="425"/>
    <col min="10237" max="10237" width="54.7109375" style="425" customWidth="1"/>
    <col min="10238" max="10239" width="16.28515625" style="425" customWidth="1"/>
    <col min="10240" max="10492" width="10.7109375" style="425"/>
    <col min="10493" max="10493" width="54.7109375" style="425" customWidth="1"/>
    <col min="10494" max="10495" width="16.28515625" style="425" customWidth="1"/>
    <col min="10496" max="10748" width="10.7109375" style="425"/>
    <col min="10749" max="10749" width="54.7109375" style="425" customWidth="1"/>
    <col min="10750" max="10751" width="16.28515625" style="425" customWidth="1"/>
    <col min="10752" max="11004" width="10.7109375" style="425"/>
    <col min="11005" max="11005" width="54.7109375" style="425" customWidth="1"/>
    <col min="11006" max="11007" width="16.28515625" style="425" customWidth="1"/>
    <col min="11008" max="11260" width="10.7109375" style="425"/>
    <col min="11261" max="11261" width="54.7109375" style="425" customWidth="1"/>
    <col min="11262" max="11263" width="16.28515625" style="425" customWidth="1"/>
    <col min="11264" max="11516" width="10.7109375" style="425"/>
    <col min="11517" max="11517" width="54.7109375" style="425" customWidth="1"/>
    <col min="11518" max="11519" width="16.28515625" style="425" customWidth="1"/>
    <col min="11520" max="11772" width="10.7109375" style="425"/>
    <col min="11773" max="11773" width="54.7109375" style="425" customWidth="1"/>
    <col min="11774" max="11775" width="16.28515625" style="425" customWidth="1"/>
    <col min="11776" max="12028" width="10.7109375" style="425"/>
    <col min="12029" max="12029" width="54.7109375" style="425" customWidth="1"/>
    <col min="12030" max="12031" width="16.28515625" style="425" customWidth="1"/>
    <col min="12032" max="12284" width="10.7109375" style="425"/>
    <col min="12285" max="12285" width="54.7109375" style="425" customWidth="1"/>
    <col min="12286" max="12287" width="16.28515625" style="425" customWidth="1"/>
    <col min="12288" max="12540" width="10.7109375" style="425"/>
    <col min="12541" max="12541" width="54.7109375" style="425" customWidth="1"/>
    <col min="12542" max="12543" width="16.28515625" style="425" customWidth="1"/>
    <col min="12544" max="12796" width="10.7109375" style="425"/>
    <col min="12797" max="12797" width="54.7109375" style="425" customWidth="1"/>
    <col min="12798" max="12799" width="16.28515625" style="425" customWidth="1"/>
    <col min="12800" max="13052" width="10.7109375" style="425"/>
    <col min="13053" max="13053" width="54.7109375" style="425" customWidth="1"/>
    <col min="13054" max="13055" width="16.28515625" style="425" customWidth="1"/>
    <col min="13056" max="13308" width="10.7109375" style="425"/>
    <col min="13309" max="13309" width="54.7109375" style="425" customWidth="1"/>
    <col min="13310" max="13311" width="16.28515625" style="425" customWidth="1"/>
    <col min="13312" max="13564" width="10.7109375" style="425"/>
    <col min="13565" max="13565" width="54.7109375" style="425" customWidth="1"/>
    <col min="13566" max="13567" width="16.28515625" style="425" customWidth="1"/>
    <col min="13568" max="13820" width="10.7109375" style="425"/>
    <col min="13821" max="13821" width="54.7109375" style="425" customWidth="1"/>
    <col min="13822" max="13823" width="16.28515625" style="425" customWidth="1"/>
    <col min="13824" max="14076" width="10.7109375" style="425"/>
    <col min="14077" max="14077" width="54.7109375" style="425" customWidth="1"/>
    <col min="14078" max="14079" width="16.28515625" style="425" customWidth="1"/>
    <col min="14080" max="14332" width="10.7109375" style="425"/>
    <col min="14333" max="14333" width="54.7109375" style="425" customWidth="1"/>
    <col min="14334" max="14335" width="16.28515625" style="425" customWidth="1"/>
    <col min="14336" max="14588" width="10.7109375" style="425"/>
    <col min="14589" max="14589" width="54.7109375" style="425" customWidth="1"/>
    <col min="14590" max="14591" width="16.28515625" style="425" customWidth="1"/>
    <col min="14592" max="14844" width="10.7109375" style="425"/>
    <col min="14845" max="14845" width="54.7109375" style="425" customWidth="1"/>
    <col min="14846" max="14847" width="16.28515625" style="425" customWidth="1"/>
    <col min="14848" max="15100" width="10.7109375" style="425"/>
    <col min="15101" max="15101" width="54.7109375" style="425" customWidth="1"/>
    <col min="15102" max="15103" width="16.28515625" style="425" customWidth="1"/>
    <col min="15104" max="15356" width="10.7109375" style="425"/>
    <col min="15357" max="15357" width="54.7109375" style="425" customWidth="1"/>
    <col min="15358" max="15359" width="16.28515625" style="425" customWidth="1"/>
    <col min="15360" max="15612" width="10.7109375" style="425"/>
    <col min="15613" max="15613" width="54.7109375" style="425" customWidth="1"/>
    <col min="15614" max="15615" width="16.28515625" style="425" customWidth="1"/>
    <col min="15616" max="15868" width="10.7109375" style="425"/>
    <col min="15869" max="15869" width="54.7109375" style="425" customWidth="1"/>
    <col min="15870" max="15871" width="16.28515625" style="425" customWidth="1"/>
    <col min="15872" max="16124" width="10.7109375" style="425"/>
    <col min="16125" max="16125" width="54.7109375" style="425" customWidth="1"/>
    <col min="16126" max="16127" width="16.28515625" style="425" customWidth="1"/>
    <col min="16128" max="16384" width="10.7109375" style="425"/>
  </cols>
  <sheetData>
    <row r="1" spans="1:4" ht="15" x14ac:dyDescent="0.2">
      <c r="A1" s="1072" t="s">
        <v>3593</v>
      </c>
      <c r="B1" s="1072"/>
      <c r="C1" s="1072"/>
      <c r="D1" s="1072"/>
    </row>
    <row r="2" spans="1:4" ht="15" x14ac:dyDescent="0.2">
      <c r="A2" s="1072" t="s">
        <v>3594</v>
      </c>
      <c r="B2" s="1072"/>
      <c r="C2" s="1072"/>
      <c r="D2" s="1072"/>
    </row>
    <row r="3" spans="1:4" ht="15" x14ac:dyDescent="0.2">
      <c r="A3" s="1072" t="s">
        <v>3445</v>
      </c>
      <c r="B3" s="1072"/>
      <c r="C3" s="1072"/>
      <c r="D3" s="1072"/>
    </row>
    <row r="4" spans="1:4" ht="15" x14ac:dyDescent="0.2">
      <c r="A4" s="1072" t="s">
        <v>3534</v>
      </c>
      <c r="B4" s="1072"/>
      <c r="C4" s="1072"/>
      <c r="D4" s="1072"/>
    </row>
    <row r="5" spans="1:4" ht="14.25" x14ac:dyDescent="0.2">
      <c r="A5" s="426"/>
      <c r="B5" s="426"/>
      <c r="C5" s="426"/>
      <c r="D5" s="426"/>
    </row>
    <row r="6" spans="1:4" ht="15.75" thickBot="1" x14ac:dyDescent="0.25">
      <c r="A6" s="419" t="s">
        <v>3383</v>
      </c>
      <c r="B6" s="427" t="s">
        <v>3417</v>
      </c>
      <c r="C6" s="781"/>
      <c r="D6" s="427" t="s">
        <v>2678</v>
      </c>
    </row>
    <row r="7" spans="1:4" ht="15" x14ac:dyDescent="0.2">
      <c r="A7" s="420"/>
      <c r="B7" s="429"/>
      <c r="C7" s="782"/>
      <c r="D7" s="429"/>
    </row>
    <row r="8" spans="1:4" ht="15" x14ac:dyDescent="0.2">
      <c r="A8" s="420" t="s">
        <v>86</v>
      </c>
      <c r="B8" s="429"/>
      <c r="C8" s="782"/>
      <c r="D8" s="429"/>
    </row>
    <row r="9" spans="1:4" ht="14.25" x14ac:dyDescent="0.2">
      <c r="A9" s="421" t="s">
        <v>1305</v>
      </c>
      <c r="B9" s="431">
        <v>85964119.409999996</v>
      </c>
      <c r="C9" s="431"/>
      <c r="D9" s="431">
        <v>78557844.890000001</v>
      </c>
    </row>
    <row r="10" spans="1:4" ht="14.25" x14ac:dyDescent="0.2">
      <c r="A10" s="421" t="s">
        <v>87</v>
      </c>
      <c r="B10" s="432">
        <v>466909468.25999999</v>
      </c>
      <c r="C10" s="783"/>
      <c r="D10" s="432">
        <v>499080196.35000002</v>
      </c>
    </row>
    <row r="11" spans="1:4" ht="14.25" x14ac:dyDescent="0.2">
      <c r="A11" s="421" t="s">
        <v>88</v>
      </c>
      <c r="B11" s="432">
        <v>2975245775.1500001</v>
      </c>
      <c r="C11" s="783"/>
      <c r="D11" s="432">
        <v>1558081486.6199999</v>
      </c>
    </row>
    <row r="12" spans="1:4" ht="14.25" x14ac:dyDescent="0.2">
      <c r="A12" s="421" t="s">
        <v>2679</v>
      </c>
      <c r="B12" s="432">
        <v>2476660701.4200001</v>
      </c>
      <c r="C12" s="783"/>
      <c r="D12" s="432">
        <v>2670350064.46</v>
      </c>
    </row>
    <row r="13" spans="1:4" ht="14.25" x14ac:dyDescent="0.2">
      <c r="A13" s="421" t="s">
        <v>267</v>
      </c>
      <c r="B13" s="432">
        <v>138173872</v>
      </c>
      <c r="C13" s="783"/>
      <c r="D13" s="432">
        <v>165513020.37</v>
      </c>
    </row>
    <row r="14" spans="1:4" ht="14.25" x14ac:dyDescent="0.2">
      <c r="A14" s="421" t="s">
        <v>1173</v>
      </c>
      <c r="B14" s="432">
        <v>359116746.36000001</v>
      </c>
      <c r="C14" s="783"/>
      <c r="D14" s="432">
        <v>148268251.31999999</v>
      </c>
    </row>
    <row r="15" spans="1:4" ht="14.25" x14ac:dyDescent="0.2">
      <c r="A15" s="421" t="s">
        <v>2299</v>
      </c>
      <c r="B15" s="432">
        <v>140977569318.89999</v>
      </c>
      <c r="C15" s="783"/>
      <c r="D15" s="432">
        <v>129004604995.8</v>
      </c>
    </row>
    <row r="16" spans="1:4" ht="14.25" x14ac:dyDescent="0.2">
      <c r="A16" s="421" t="s">
        <v>188</v>
      </c>
      <c r="B16" s="434">
        <v>47933667346.389999</v>
      </c>
      <c r="C16" s="783"/>
      <c r="D16" s="434">
        <v>37364489601</v>
      </c>
    </row>
    <row r="17" spans="1:4" ht="15" x14ac:dyDescent="0.2">
      <c r="A17" s="420" t="s">
        <v>2300</v>
      </c>
      <c r="B17" s="429">
        <f>SUM(B9:B16)</f>
        <v>195413307347.89001</v>
      </c>
      <c r="C17" s="782"/>
      <c r="D17" s="429">
        <f>SUM(D9:D16)</f>
        <v>171488945460.81</v>
      </c>
    </row>
    <row r="18" spans="1:4" ht="15" x14ac:dyDescent="0.2">
      <c r="A18" s="422"/>
      <c r="B18" s="429"/>
      <c r="C18" s="782"/>
      <c r="D18" s="429"/>
    </row>
    <row r="19" spans="1:4" ht="15" x14ac:dyDescent="0.2">
      <c r="A19" s="420" t="s">
        <v>323</v>
      </c>
      <c r="B19" s="429"/>
      <c r="C19" s="782"/>
      <c r="D19" s="429"/>
    </row>
    <row r="20" spans="1:4" ht="14.25" x14ac:dyDescent="0.2">
      <c r="A20" s="421" t="s">
        <v>87</v>
      </c>
      <c r="B20" s="433">
        <v>1230612064.6700001</v>
      </c>
      <c r="C20" s="783"/>
      <c r="D20" s="433">
        <v>1172831107.4200001</v>
      </c>
    </row>
    <row r="21" spans="1:4" ht="14.25" x14ac:dyDescent="0.2">
      <c r="A21" s="421" t="s">
        <v>188</v>
      </c>
      <c r="B21" s="434">
        <v>3511140060.1900001</v>
      </c>
      <c r="C21" s="783"/>
      <c r="D21" s="434">
        <v>3175728471.0100002</v>
      </c>
    </row>
    <row r="22" spans="1:4" ht="15" x14ac:dyDescent="0.2">
      <c r="A22" s="420" t="s">
        <v>51</v>
      </c>
      <c r="B22" s="429">
        <f>SUM(B20:B21)</f>
        <v>4741752124.8600006</v>
      </c>
      <c r="C22" s="782"/>
      <c r="D22" s="429">
        <f>SUM(D20:D21)</f>
        <v>4348559578.4300003</v>
      </c>
    </row>
    <row r="23" spans="1:4" ht="15" x14ac:dyDescent="0.2">
      <c r="A23" s="420"/>
      <c r="B23" s="429"/>
      <c r="C23" s="782"/>
      <c r="D23" s="429"/>
    </row>
    <row r="24" spans="1:4" ht="15" x14ac:dyDescent="0.2">
      <c r="A24" s="420" t="s">
        <v>2301</v>
      </c>
      <c r="B24" s="429"/>
      <c r="C24" s="782"/>
      <c r="D24" s="429"/>
    </row>
    <row r="25" spans="1:4" ht="14.25" x14ac:dyDescent="0.2">
      <c r="A25" s="421" t="s">
        <v>88</v>
      </c>
      <c r="B25" s="432">
        <v>4536215.42</v>
      </c>
      <c r="C25" s="783"/>
      <c r="D25" s="432">
        <v>4929763.01</v>
      </c>
    </row>
    <row r="26" spans="1:4" ht="14.25" x14ac:dyDescent="0.2">
      <c r="A26" s="421" t="s">
        <v>1173</v>
      </c>
      <c r="B26" s="431">
        <v>34583.35</v>
      </c>
      <c r="C26" s="431"/>
      <c r="D26" s="431">
        <v>0</v>
      </c>
    </row>
    <row r="27" spans="1:4" ht="14.25" x14ac:dyDescent="0.2">
      <c r="A27" s="421" t="s">
        <v>322</v>
      </c>
      <c r="B27" s="434">
        <v>78741171.760000005</v>
      </c>
      <c r="C27" s="783"/>
      <c r="D27" s="434">
        <v>135017494.50999999</v>
      </c>
    </row>
    <row r="28" spans="1:4" ht="15" x14ac:dyDescent="0.2">
      <c r="A28" s="420" t="s">
        <v>2302</v>
      </c>
      <c r="B28" s="429">
        <f>SUM(B25:B27)</f>
        <v>83311970.530000001</v>
      </c>
      <c r="C28" s="782"/>
      <c r="D28" s="429">
        <f>SUM(D25:D27)</f>
        <v>139947257.51999998</v>
      </c>
    </row>
    <row r="29" spans="1:4" ht="15" x14ac:dyDescent="0.2">
      <c r="A29" s="422"/>
      <c r="B29" s="435"/>
      <c r="C29" s="784"/>
      <c r="D29" s="435"/>
    </row>
    <row r="30" spans="1:4" ht="15" x14ac:dyDescent="0.2">
      <c r="A30" s="420" t="s">
        <v>1390</v>
      </c>
      <c r="B30" s="429"/>
      <c r="C30" s="782"/>
      <c r="D30" s="429"/>
    </row>
    <row r="31" spans="1:4" ht="14.25" x14ac:dyDescent="0.2">
      <c r="A31" s="421" t="s">
        <v>751</v>
      </c>
      <c r="B31" s="432">
        <v>202232564.13</v>
      </c>
      <c r="C31" s="783"/>
      <c r="D31" s="432">
        <v>247670983.49000001</v>
      </c>
    </row>
    <row r="32" spans="1:4" ht="14.25" x14ac:dyDescent="0.2">
      <c r="A32" s="421" t="s">
        <v>87</v>
      </c>
      <c r="B32" s="432">
        <v>22743526.489999998</v>
      </c>
      <c r="C32" s="783"/>
      <c r="D32" s="432">
        <v>32414521.260000002</v>
      </c>
    </row>
    <row r="33" spans="1:4" ht="14.25" x14ac:dyDescent="0.2">
      <c r="A33" s="421" t="s">
        <v>88</v>
      </c>
      <c r="B33" s="432">
        <v>18071197.98</v>
      </c>
      <c r="C33" s="783"/>
      <c r="D33" s="432">
        <v>34667152.609999999</v>
      </c>
    </row>
    <row r="34" spans="1:4" ht="14.25" x14ac:dyDescent="0.2">
      <c r="A34" s="421" t="s">
        <v>2679</v>
      </c>
      <c r="B34" s="432">
        <v>25809096.16</v>
      </c>
      <c r="C34" s="783"/>
      <c r="D34" s="432">
        <v>26174140</v>
      </c>
    </row>
    <row r="35" spans="1:4" ht="14.25" x14ac:dyDescent="0.2">
      <c r="A35" s="421" t="s">
        <v>2299</v>
      </c>
      <c r="B35" s="433">
        <v>2662144927.6300001</v>
      </c>
      <c r="C35" s="783"/>
      <c r="D35" s="433">
        <v>3001968034.5999999</v>
      </c>
    </row>
    <row r="36" spans="1:4" ht="14.25" x14ac:dyDescent="0.2">
      <c r="A36" s="421" t="s">
        <v>1773</v>
      </c>
      <c r="B36" s="433">
        <v>356739305.73000002</v>
      </c>
      <c r="C36" s="783"/>
      <c r="D36" s="433">
        <v>128771100.33</v>
      </c>
    </row>
    <row r="37" spans="1:4" ht="14.25" x14ac:dyDescent="0.2">
      <c r="A37" s="421" t="s">
        <v>1168</v>
      </c>
      <c r="B37" s="433">
        <v>24158622.98</v>
      </c>
      <c r="C37" s="783"/>
      <c r="D37" s="433">
        <v>49610717.049999997</v>
      </c>
    </row>
    <row r="38" spans="1:4" ht="14.25" x14ac:dyDescent="0.2">
      <c r="A38" s="421" t="s">
        <v>188</v>
      </c>
      <c r="B38" s="434">
        <v>8822129652.0100002</v>
      </c>
      <c r="C38" s="783"/>
      <c r="D38" s="434">
        <v>8611381175.6000004</v>
      </c>
    </row>
    <row r="39" spans="1:4" ht="15" x14ac:dyDescent="0.2">
      <c r="A39" s="420" t="s">
        <v>2303</v>
      </c>
      <c r="B39" s="429">
        <f>SUM(B31:B38)</f>
        <v>12134028893.110001</v>
      </c>
      <c r="C39" s="782"/>
      <c r="D39" s="429">
        <f>SUM(D31:D38)</f>
        <v>12132657824.940001</v>
      </c>
    </row>
    <row r="40" spans="1:4" ht="15" x14ac:dyDescent="0.2">
      <c r="A40" s="420"/>
      <c r="B40" s="429"/>
      <c r="C40" s="782"/>
      <c r="D40" s="429"/>
    </row>
    <row r="41" spans="1:4" ht="15" x14ac:dyDescent="0.2">
      <c r="A41" s="420" t="s">
        <v>1392</v>
      </c>
      <c r="B41" s="429"/>
      <c r="C41" s="782"/>
      <c r="D41" s="429"/>
    </row>
    <row r="42" spans="1:4" ht="14.25" x14ac:dyDescent="0.2">
      <c r="A42" s="421" t="s">
        <v>2679</v>
      </c>
      <c r="B42" s="433">
        <v>234429921.02000001</v>
      </c>
      <c r="C42" s="783"/>
      <c r="D42" s="433">
        <v>255716590.97</v>
      </c>
    </row>
    <row r="43" spans="1:4" ht="14.25" x14ac:dyDescent="0.2">
      <c r="A43" s="421" t="s">
        <v>188</v>
      </c>
      <c r="B43" s="434">
        <v>443340120.24000001</v>
      </c>
      <c r="C43" s="783"/>
      <c r="D43" s="434">
        <v>465085609.45999998</v>
      </c>
    </row>
    <row r="44" spans="1:4" ht="15" x14ac:dyDescent="0.2">
      <c r="A44" s="420" t="s">
        <v>393</v>
      </c>
      <c r="B44" s="429">
        <f>SUM(B42:B43)</f>
        <v>677770041.25999999</v>
      </c>
      <c r="C44" s="782"/>
      <c r="D44" s="429">
        <f>SUM(D42:D43)</f>
        <v>720802200.42999995</v>
      </c>
    </row>
    <row r="45" spans="1:4" ht="15" x14ac:dyDescent="0.2">
      <c r="A45" s="420"/>
      <c r="B45" s="429"/>
      <c r="C45" s="782"/>
      <c r="D45" s="429"/>
    </row>
    <row r="46" spans="1:4" ht="15" x14ac:dyDescent="0.2">
      <c r="A46" s="420" t="s">
        <v>2304</v>
      </c>
      <c r="B46" s="429"/>
      <c r="C46" s="782"/>
      <c r="D46" s="429"/>
    </row>
    <row r="47" spans="1:4" ht="14.25" x14ac:dyDescent="0.2">
      <c r="A47" s="421" t="s">
        <v>2679</v>
      </c>
      <c r="B47" s="433">
        <v>1219785735.48</v>
      </c>
      <c r="C47" s="783"/>
      <c r="D47" s="433">
        <v>1446722466.3699999</v>
      </c>
    </row>
    <row r="48" spans="1:4" ht="14.25" x14ac:dyDescent="0.2">
      <c r="A48" s="421" t="s">
        <v>188</v>
      </c>
      <c r="B48" s="434">
        <v>328675345.25</v>
      </c>
      <c r="C48" s="783"/>
      <c r="D48" s="434">
        <v>410331661.06</v>
      </c>
    </row>
    <row r="49" spans="1:4" ht="15" x14ac:dyDescent="0.2">
      <c r="A49" s="420" t="s">
        <v>2305</v>
      </c>
      <c r="B49" s="429">
        <f>SUM(B47:B48)</f>
        <v>1548461080.73</v>
      </c>
      <c r="C49" s="782"/>
      <c r="D49" s="429">
        <f>SUM(D47:D48)</f>
        <v>1857054127.4299998</v>
      </c>
    </row>
    <row r="50" spans="1:4" ht="15" x14ac:dyDescent="0.2">
      <c r="A50" s="420"/>
      <c r="B50" s="429"/>
      <c r="C50" s="782"/>
      <c r="D50" s="429"/>
    </row>
    <row r="51" spans="1:4" ht="15" x14ac:dyDescent="0.2">
      <c r="A51" s="420" t="s">
        <v>1094</v>
      </c>
      <c r="B51" s="429"/>
      <c r="C51" s="782"/>
      <c r="D51" s="429"/>
    </row>
    <row r="52" spans="1:4" ht="14.25" x14ac:dyDescent="0.2">
      <c r="A52" s="421" t="s">
        <v>87</v>
      </c>
      <c r="B52" s="433">
        <v>305292856.66000003</v>
      </c>
      <c r="C52" s="783"/>
      <c r="D52" s="433">
        <v>286073134</v>
      </c>
    </row>
    <row r="53" spans="1:4" ht="14.25" x14ac:dyDescent="0.2">
      <c r="A53" s="421" t="s">
        <v>88</v>
      </c>
      <c r="B53" s="432">
        <v>43975622.210000001</v>
      </c>
      <c r="C53" s="783"/>
      <c r="D53" s="432">
        <v>27683017.379999999</v>
      </c>
    </row>
    <row r="54" spans="1:4" ht="14.25" x14ac:dyDescent="0.2">
      <c r="A54" s="421" t="s">
        <v>1773</v>
      </c>
      <c r="B54" s="433">
        <v>866047691.74000001</v>
      </c>
      <c r="C54" s="783"/>
      <c r="D54" s="433">
        <v>745460386.25999999</v>
      </c>
    </row>
    <row r="55" spans="1:4" ht="14.25" x14ac:dyDescent="0.2">
      <c r="A55" s="421" t="s">
        <v>188</v>
      </c>
      <c r="B55" s="434">
        <v>7136544730.21</v>
      </c>
      <c r="C55" s="783"/>
      <c r="D55" s="434">
        <v>5988459226.8100004</v>
      </c>
    </row>
    <row r="56" spans="1:4" ht="15" x14ac:dyDescent="0.2">
      <c r="A56" s="420" t="s">
        <v>2306</v>
      </c>
      <c r="B56" s="429">
        <f>SUM(B52:B55)</f>
        <v>8351860900.8199997</v>
      </c>
      <c r="C56" s="782"/>
      <c r="D56" s="429">
        <f>SUM(D52:D55)</f>
        <v>7047675764.4500008</v>
      </c>
    </row>
    <row r="57" spans="1:4" ht="15" x14ac:dyDescent="0.2">
      <c r="A57" s="420"/>
      <c r="B57" s="429"/>
      <c r="C57" s="782"/>
      <c r="D57" s="429"/>
    </row>
    <row r="58" spans="1:4" ht="15" x14ac:dyDescent="0.2">
      <c r="A58" s="420" t="s">
        <v>1095</v>
      </c>
      <c r="B58" s="429"/>
      <c r="C58" s="782"/>
      <c r="D58" s="429"/>
    </row>
    <row r="59" spans="1:4" ht="14.25" x14ac:dyDescent="0.2">
      <c r="A59" s="421" t="s">
        <v>2299</v>
      </c>
      <c r="B59" s="433">
        <v>1487468358.96</v>
      </c>
      <c r="C59" s="783"/>
      <c r="D59" s="433">
        <v>2164566317.1599998</v>
      </c>
    </row>
    <row r="60" spans="1:4" ht="14.25" x14ac:dyDescent="0.2">
      <c r="A60" s="421" t="s">
        <v>188</v>
      </c>
      <c r="B60" s="434">
        <v>5024642567.2700005</v>
      </c>
      <c r="C60" s="783"/>
      <c r="D60" s="434">
        <v>4055047585.3800001</v>
      </c>
    </row>
    <row r="61" spans="1:4" ht="15" x14ac:dyDescent="0.2">
      <c r="A61" s="420" t="s">
        <v>2307</v>
      </c>
      <c r="B61" s="429">
        <f>SUM(B59:B60)</f>
        <v>6512110926.2300005</v>
      </c>
      <c r="C61" s="782"/>
      <c r="D61" s="429">
        <f>SUM(D59:D60)</f>
        <v>6219613902.54</v>
      </c>
    </row>
    <row r="62" spans="1:4" ht="15" x14ac:dyDescent="0.2">
      <c r="A62" s="420"/>
      <c r="B62" s="429"/>
      <c r="C62" s="782"/>
      <c r="D62" s="429"/>
    </row>
    <row r="63" spans="1:4" ht="15" x14ac:dyDescent="0.2">
      <c r="A63" s="420" t="s">
        <v>1774</v>
      </c>
      <c r="B63" s="429"/>
      <c r="C63" s="782"/>
      <c r="D63" s="429"/>
    </row>
    <row r="64" spans="1:4" ht="14.25" x14ac:dyDescent="0.2">
      <c r="A64" s="421" t="s">
        <v>2299</v>
      </c>
      <c r="B64" s="433">
        <v>1668056351.8399999</v>
      </c>
      <c r="C64" s="783"/>
      <c r="D64" s="433">
        <v>1942337407.45</v>
      </c>
    </row>
    <row r="65" spans="1:4" ht="14.25" x14ac:dyDescent="0.2">
      <c r="A65" s="421" t="s">
        <v>3418</v>
      </c>
      <c r="B65" s="433">
        <v>33333641.25</v>
      </c>
      <c r="C65" s="783"/>
      <c r="D65" s="433">
        <v>0</v>
      </c>
    </row>
    <row r="66" spans="1:4" ht="14.25" x14ac:dyDescent="0.2">
      <c r="A66" s="421" t="s">
        <v>3419</v>
      </c>
      <c r="B66" s="433">
        <v>761451209.62</v>
      </c>
      <c r="C66" s="783"/>
      <c r="D66" s="433">
        <v>287663809.69</v>
      </c>
    </row>
    <row r="67" spans="1:4" ht="15" x14ac:dyDescent="0.2">
      <c r="A67" s="420" t="s">
        <v>1775</v>
      </c>
      <c r="B67" s="436">
        <f>SUM(B64:B66)</f>
        <v>2462841202.71</v>
      </c>
      <c r="C67" s="782"/>
      <c r="D67" s="436">
        <f>SUM(D64:D66)</f>
        <v>2230001217.1399999</v>
      </c>
    </row>
    <row r="68" spans="1:4" ht="15" x14ac:dyDescent="0.2">
      <c r="A68" s="420"/>
      <c r="B68" s="433"/>
      <c r="C68" s="783"/>
      <c r="D68" s="433"/>
    </row>
    <row r="69" spans="1:4" ht="15.75" thickBot="1" x14ac:dyDescent="0.25">
      <c r="A69" s="420" t="s">
        <v>328</v>
      </c>
      <c r="B69" s="437">
        <f>SUM(+B61+B56+B49+B44+B39+B28+B22+B17)+B67</f>
        <v>231925444488.14001</v>
      </c>
      <c r="C69" s="782"/>
      <c r="D69" s="437">
        <f>SUM(+D61+D56+D49+D44+D39+D28+D22+D17)+D67</f>
        <v>206185257333.69</v>
      </c>
    </row>
    <row r="70" spans="1:4" ht="15.75" thickTop="1" x14ac:dyDescent="0.2">
      <c r="A70" s="420"/>
      <c r="B70" s="430"/>
      <c r="C70" s="782"/>
      <c r="D70" s="430"/>
    </row>
    <row r="71" spans="1:4" ht="15.75" thickBot="1" x14ac:dyDescent="0.25">
      <c r="A71" s="419" t="s">
        <v>3426</v>
      </c>
      <c r="B71" s="427" t="s">
        <v>3417</v>
      </c>
      <c r="C71" s="785"/>
      <c r="D71" s="427" t="s">
        <v>2678</v>
      </c>
    </row>
    <row r="72" spans="1:4" ht="15" x14ac:dyDescent="0.2">
      <c r="A72" s="419"/>
      <c r="B72" s="428"/>
      <c r="C72" s="785"/>
      <c r="D72" s="428"/>
    </row>
    <row r="73" spans="1:4" ht="15" x14ac:dyDescent="0.2">
      <c r="A73" s="420" t="s">
        <v>3420</v>
      </c>
      <c r="B73" s="429"/>
      <c r="C73" s="782"/>
      <c r="D73" s="429"/>
    </row>
    <row r="74" spans="1:4" ht="14.25" x14ac:dyDescent="0.2">
      <c r="A74" s="421" t="s">
        <v>268</v>
      </c>
      <c r="B74" s="432">
        <v>98100725202.240005</v>
      </c>
      <c r="C74" s="783"/>
      <c r="D74" s="432">
        <v>93435411926.110001</v>
      </c>
    </row>
    <row r="75" spans="1:4" ht="14.25" x14ac:dyDescent="0.2">
      <c r="A75" s="421" t="s">
        <v>17</v>
      </c>
      <c r="B75" s="432">
        <v>6284980719.2799997</v>
      </c>
      <c r="C75" s="783"/>
      <c r="D75" s="432">
        <v>5629573128.1099997</v>
      </c>
    </row>
    <row r="76" spans="1:4" ht="14.25" x14ac:dyDescent="0.2">
      <c r="A76" s="421" t="s">
        <v>18</v>
      </c>
      <c r="B76" s="432">
        <v>1955249271.22</v>
      </c>
      <c r="C76" s="783"/>
      <c r="D76" s="432">
        <v>2041523806.8699999</v>
      </c>
    </row>
    <row r="77" spans="1:4" ht="14.25" x14ac:dyDescent="0.2">
      <c r="A77" s="421" t="s">
        <v>269</v>
      </c>
      <c r="B77" s="432">
        <v>35784255.729999997</v>
      </c>
      <c r="C77" s="783"/>
      <c r="D77" s="432">
        <v>87944553.010000005</v>
      </c>
    </row>
    <row r="78" spans="1:4" ht="14.25" x14ac:dyDescent="0.2">
      <c r="A78" s="421" t="s">
        <v>555</v>
      </c>
      <c r="B78" s="432">
        <v>5595794378.04</v>
      </c>
      <c r="C78" s="783"/>
      <c r="D78" s="432">
        <v>5091480237.5100002</v>
      </c>
    </row>
    <row r="79" spans="1:4" ht="14.25" x14ac:dyDescent="0.2">
      <c r="A79" s="421" t="s">
        <v>271</v>
      </c>
      <c r="B79" s="432">
        <v>20145354535.09</v>
      </c>
      <c r="C79" s="783"/>
      <c r="D79" s="432">
        <v>17398114950.450001</v>
      </c>
    </row>
    <row r="80" spans="1:4" ht="14.25" x14ac:dyDescent="0.2">
      <c r="A80" s="421" t="s">
        <v>272</v>
      </c>
      <c r="B80" s="434">
        <v>64816407.310000002</v>
      </c>
      <c r="C80" s="783"/>
      <c r="D80" s="434">
        <v>59764767.710000001</v>
      </c>
    </row>
    <row r="81" spans="1:4" ht="15" x14ac:dyDescent="0.2">
      <c r="A81" s="420" t="s">
        <v>2300</v>
      </c>
      <c r="B81" s="429">
        <f>SUM(B74:B80)</f>
        <v>132182704768.90999</v>
      </c>
      <c r="C81" s="782"/>
      <c r="D81" s="429">
        <f>SUM(D74:D80)</f>
        <v>123743813369.76999</v>
      </c>
    </row>
    <row r="82" spans="1:4" ht="15" x14ac:dyDescent="0.2">
      <c r="A82" s="420"/>
      <c r="B82" s="429"/>
      <c r="C82" s="782"/>
      <c r="D82" s="429"/>
    </row>
    <row r="83" spans="1:4" ht="15" x14ac:dyDescent="0.2">
      <c r="A83" s="420" t="s">
        <v>3421</v>
      </c>
      <c r="B83" s="429"/>
      <c r="C83" s="782"/>
      <c r="D83" s="429"/>
    </row>
    <row r="84" spans="1:4" ht="14.25" x14ac:dyDescent="0.2">
      <c r="A84" s="421" t="s">
        <v>268</v>
      </c>
      <c r="B84" s="432">
        <v>379450881.05000001</v>
      </c>
      <c r="C84" s="783"/>
      <c r="D84" s="432">
        <v>354217663.64999998</v>
      </c>
    </row>
    <row r="85" spans="1:4" ht="14.25" x14ac:dyDescent="0.2">
      <c r="A85" s="421" t="s">
        <v>17</v>
      </c>
      <c r="B85" s="432">
        <v>366124208.00999999</v>
      </c>
      <c r="C85" s="783"/>
      <c r="D85" s="432">
        <v>266112925.69</v>
      </c>
    </row>
    <row r="86" spans="1:4" ht="14.25" x14ac:dyDescent="0.2">
      <c r="A86" s="421" t="s">
        <v>18</v>
      </c>
      <c r="B86" s="432">
        <v>147039560.96000001</v>
      </c>
      <c r="C86" s="783"/>
      <c r="D86" s="432">
        <v>128996831.58</v>
      </c>
    </row>
    <row r="87" spans="1:4" ht="14.25" x14ac:dyDescent="0.2">
      <c r="A87" s="421" t="s">
        <v>555</v>
      </c>
      <c r="B87" s="432">
        <v>218468105.25</v>
      </c>
      <c r="C87" s="783"/>
      <c r="D87" s="432">
        <v>112332617.8</v>
      </c>
    </row>
    <row r="88" spans="1:4" ht="14.25" x14ac:dyDescent="0.2">
      <c r="A88" s="421" t="s">
        <v>271</v>
      </c>
      <c r="B88" s="438">
        <v>102738109.45</v>
      </c>
      <c r="C88" s="783"/>
      <c r="D88" s="438">
        <v>133027061.75</v>
      </c>
    </row>
    <row r="89" spans="1:4" ht="15" x14ac:dyDescent="0.2">
      <c r="A89" s="420" t="s">
        <v>51</v>
      </c>
      <c r="B89" s="429">
        <f>SUM(B84:B88)</f>
        <v>1213820864.72</v>
      </c>
      <c r="C89" s="782"/>
      <c r="D89" s="429">
        <f>SUM(D84:D88)</f>
        <v>994687100.46999991</v>
      </c>
    </row>
    <row r="90" spans="1:4" ht="15" x14ac:dyDescent="0.2">
      <c r="A90" s="420"/>
      <c r="B90" s="429"/>
      <c r="C90" s="782"/>
      <c r="D90" s="429"/>
    </row>
    <row r="91" spans="1:4" ht="15" x14ac:dyDescent="0.2">
      <c r="A91" s="420" t="s">
        <v>389</v>
      </c>
      <c r="B91" s="429"/>
      <c r="C91" s="782"/>
      <c r="D91" s="429"/>
    </row>
    <row r="92" spans="1:4" ht="14.25" x14ac:dyDescent="0.2">
      <c r="A92" s="421" t="s">
        <v>17</v>
      </c>
      <c r="B92" s="432">
        <v>202341430.41</v>
      </c>
      <c r="C92" s="783"/>
      <c r="D92" s="432">
        <v>173951412.16999999</v>
      </c>
    </row>
    <row r="93" spans="1:4" ht="14.25" x14ac:dyDescent="0.2">
      <c r="A93" s="423" t="s">
        <v>269</v>
      </c>
      <c r="B93" s="439">
        <v>1152509689.4300001</v>
      </c>
      <c r="C93" s="783"/>
      <c r="D93" s="439">
        <v>1165016598.74</v>
      </c>
    </row>
    <row r="94" spans="1:4" ht="14.25" x14ac:dyDescent="0.2">
      <c r="A94" s="421" t="s">
        <v>555</v>
      </c>
      <c r="B94" s="432">
        <v>1589189362.7</v>
      </c>
      <c r="C94" s="783"/>
      <c r="D94" s="432">
        <v>873405407.60000002</v>
      </c>
    </row>
    <row r="95" spans="1:4" ht="14.25" x14ac:dyDescent="0.2">
      <c r="A95" s="423" t="s">
        <v>272</v>
      </c>
      <c r="B95" s="440">
        <v>121439357.98</v>
      </c>
      <c r="C95" s="783"/>
      <c r="D95" s="440">
        <v>108932448.69</v>
      </c>
    </row>
    <row r="96" spans="1:4" ht="15" x14ac:dyDescent="0.2">
      <c r="A96" s="420" t="s">
        <v>390</v>
      </c>
      <c r="B96" s="429">
        <f>SUM(B92:B95)</f>
        <v>3065479840.52</v>
      </c>
      <c r="C96" s="782"/>
      <c r="D96" s="429">
        <f>SUM(D92:D95)</f>
        <v>2321305867.2000003</v>
      </c>
    </row>
    <row r="97" spans="1:4" ht="15" x14ac:dyDescent="0.2">
      <c r="A97" s="424"/>
      <c r="B97" s="429"/>
      <c r="C97" s="782"/>
      <c r="D97" s="429"/>
    </row>
    <row r="98" spans="1:4" ht="15" x14ac:dyDescent="0.2">
      <c r="A98" s="420" t="s">
        <v>2301</v>
      </c>
      <c r="B98" s="429"/>
      <c r="C98" s="782"/>
      <c r="D98" s="429"/>
    </row>
    <row r="99" spans="1:4" ht="14.25" x14ac:dyDescent="0.2">
      <c r="A99" s="421" t="s">
        <v>270</v>
      </c>
      <c r="B99" s="434">
        <v>6456352.0999999996</v>
      </c>
      <c r="C99" s="783"/>
      <c r="D99" s="434">
        <v>5706699.2999999998</v>
      </c>
    </row>
    <row r="100" spans="1:4" ht="15" x14ac:dyDescent="0.2">
      <c r="A100" s="420" t="s">
        <v>2302</v>
      </c>
      <c r="B100" s="429">
        <f>SUM(B99)</f>
        <v>6456352.0999999996</v>
      </c>
      <c r="C100" s="782"/>
      <c r="D100" s="429">
        <f>SUM(D99)</f>
        <v>5706699.2999999998</v>
      </c>
    </row>
    <row r="101" spans="1:4" ht="15" x14ac:dyDescent="0.2">
      <c r="A101" s="420"/>
      <c r="B101" s="429"/>
      <c r="C101" s="782"/>
      <c r="D101" s="429"/>
    </row>
    <row r="102" spans="1:4" ht="15" x14ac:dyDescent="0.2">
      <c r="A102" s="420" t="s">
        <v>3422</v>
      </c>
      <c r="B102" s="429"/>
      <c r="C102" s="782"/>
      <c r="D102" s="429"/>
    </row>
    <row r="103" spans="1:4" ht="14.25" x14ac:dyDescent="0.2">
      <c r="A103" s="421" t="s">
        <v>268</v>
      </c>
      <c r="B103" s="432">
        <v>1452795005</v>
      </c>
      <c r="C103" s="783"/>
      <c r="D103" s="432">
        <v>1358811552.1500001</v>
      </c>
    </row>
    <row r="104" spans="1:4" ht="14.25" x14ac:dyDescent="0.2">
      <c r="A104" s="421" t="s">
        <v>17</v>
      </c>
      <c r="B104" s="432">
        <v>487510712.51999998</v>
      </c>
      <c r="C104" s="783"/>
      <c r="D104" s="432">
        <v>403094536.97000003</v>
      </c>
    </row>
    <row r="105" spans="1:4" ht="14.25" x14ac:dyDescent="0.2">
      <c r="A105" s="421" t="s">
        <v>18</v>
      </c>
      <c r="B105" s="432">
        <v>229727657.11000001</v>
      </c>
      <c r="C105" s="783"/>
      <c r="D105" s="432">
        <v>172695543.69</v>
      </c>
    </row>
    <row r="106" spans="1:4" ht="14.25" x14ac:dyDescent="0.2">
      <c r="A106" s="421" t="s">
        <v>269</v>
      </c>
      <c r="B106" s="432">
        <v>0</v>
      </c>
      <c r="C106" s="783"/>
      <c r="D106" s="432">
        <v>1068165.3700000001</v>
      </c>
    </row>
    <row r="107" spans="1:4" ht="14.25" x14ac:dyDescent="0.2">
      <c r="A107" s="421" t="s">
        <v>555</v>
      </c>
      <c r="B107" s="432">
        <v>709494893.41999996</v>
      </c>
      <c r="C107" s="783"/>
      <c r="D107" s="432">
        <v>957072991.71000004</v>
      </c>
    </row>
    <row r="108" spans="1:4" ht="14.25" x14ac:dyDescent="0.2">
      <c r="A108" s="421" t="s">
        <v>271</v>
      </c>
      <c r="B108" s="438">
        <v>329950179.85000002</v>
      </c>
      <c r="C108" s="783"/>
      <c r="D108" s="438">
        <v>394291466.30000001</v>
      </c>
    </row>
    <row r="109" spans="1:4" ht="15" x14ac:dyDescent="0.2">
      <c r="A109" s="420" t="s">
        <v>2308</v>
      </c>
      <c r="B109" s="429">
        <f>SUM(B103:B108)</f>
        <v>3209478447.9000001</v>
      </c>
      <c r="C109" s="782"/>
      <c r="D109" s="429">
        <f>SUM(D103:D108)</f>
        <v>3287034256.1900005</v>
      </c>
    </row>
    <row r="110" spans="1:4" ht="15" x14ac:dyDescent="0.2">
      <c r="A110" s="420"/>
      <c r="B110" s="429"/>
      <c r="C110" s="782"/>
      <c r="D110" s="429"/>
    </row>
    <row r="111" spans="1:4" ht="15" x14ac:dyDescent="0.2">
      <c r="A111" s="420" t="s">
        <v>1392</v>
      </c>
      <c r="B111" s="429"/>
      <c r="C111" s="782"/>
      <c r="D111" s="429"/>
    </row>
    <row r="112" spans="1:4" ht="14.25" x14ac:dyDescent="0.2">
      <c r="A112" s="421" t="s">
        <v>268</v>
      </c>
      <c r="B112" s="432">
        <v>100555276.86</v>
      </c>
      <c r="C112" s="783"/>
      <c r="D112" s="432">
        <v>98709905.319999993</v>
      </c>
    </row>
    <row r="113" spans="1:4" ht="14.25" x14ac:dyDescent="0.2">
      <c r="A113" s="421" t="s">
        <v>17</v>
      </c>
      <c r="B113" s="432">
        <v>60332765.020000003</v>
      </c>
      <c r="C113" s="783"/>
      <c r="D113" s="432">
        <v>58819063.659999996</v>
      </c>
    </row>
    <row r="114" spans="1:4" ht="14.25" x14ac:dyDescent="0.2">
      <c r="A114" s="421" t="s">
        <v>18</v>
      </c>
      <c r="B114" s="432">
        <v>9876761.0500000007</v>
      </c>
      <c r="C114" s="783"/>
      <c r="D114" s="432">
        <v>16120860.51</v>
      </c>
    </row>
    <row r="115" spans="1:4" ht="14.25" x14ac:dyDescent="0.2">
      <c r="A115" s="421" t="s">
        <v>555</v>
      </c>
      <c r="B115" s="432">
        <v>31970346.199999999</v>
      </c>
      <c r="C115" s="783"/>
      <c r="D115" s="432">
        <v>34323278.399999999</v>
      </c>
    </row>
    <row r="116" spans="1:4" ht="14.25" x14ac:dyDescent="0.2">
      <c r="A116" s="421" t="s">
        <v>271</v>
      </c>
      <c r="B116" s="434">
        <v>17959595.75</v>
      </c>
      <c r="C116" s="783"/>
      <c r="D116" s="434">
        <v>9761053.4499999993</v>
      </c>
    </row>
    <row r="117" spans="1:4" ht="15" x14ac:dyDescent="0.2">
      <c r="A117" s="420" t="s">
        <v>393</v>
      </c>
      <c r="B117" s="429">
        <f>SUM(B112:B116)</f>
        <v>220694744.88</v>
      </c>
      <c r="C117" s="782"/>
      <c r="D117" s="429">
        <f>SUM(D112:D116)</f>
        <v>217734161.33999997</v>
      </c>
    </row>
    <row r="118" spans="1:4" ht="15" x14ac:dyDescent="0.2">
      <c r="A118" s="420"/>
      <c r="B118" s="429"/>
      <c r="C118" s="782"/>
      <c r="D118" s="429"/>
    </row>
    <row r="119" spans="1:4" ht="15" x14ac:dyDescent="0.2">
      <c r="A119" s="420" t="s">
        <v>2304</v>
      </c>
      <c r="B119" s="429"/>
      <c r="C119" s="782"/>
      <c r="D119" s="429"/>
    </row>
    <row r="120" spans="1:4" ht="15" x14ac:dyDescent="0.2">
      <c r="A120" s="421" t="s">
        <v>268</v>
      </c>
      <c r="B120" s="432">
        <v>550988673.96000004</v>
      </c>
      <c r="C120" s="782"/>
      <c r="D120" s="432">
        <v>611295786.63999999</v>
      </c>
    </row>
    <row r="121" spans="1:4" ht="15" x14ac:dyDescent="0.2">
      <c r="A121" s="421" t="s">
        <v>17</v>
      </c>
      <c r="B121" s="432">
        <v>292781748.05000001</v>
      </c>
      <c r="C121" s="782"/>
      <c r="D121" s="432">
        <v>331280434.67000002</v>
      </c>
    </row>
    <row r="122" spans="1:4" ht="15" x14ac:dyDescent="0.2">
      <c r="A122" s="421" t="s">
        <v>18</v>
      </c>
      <c r="B122" s="432">
        <v>12583681.710000001</v>
      </c>
      <c r="C122" s="782"/>
      <c r="D122" s="432">
        <v>12824876.82</v>
      </c>
    </row>
    <row r="123" spans="1:4" ht="15" x14ac:dyDescent="0.2">
      <c r="A123" s="421" t="s">
        <v>555</v>
      </c>
      <c r="B123" s="432">
        <v>35739340.399999999</v>
      </c>
      <c r="C123" s="782"/>
      <c r="D123" s="432">
        <v>25841000.75</v>
      </c>
    </row>
    <row r="124" spans="1:4" ht="14.25" x14ac:dyDescent="0.2">
      <c r="A124" s="421" t="s">
        <v>271</v>
      </c>
      <c r="B124" s="434">
        <v>21919197.399999999</v>
      </c>
      <c r="C124" s="783"/>
      <c r="D124" s="434">
        <v>20195093.48</v>
      </c>
    </row>
    <row r="125" spans="1:4" ht="15" x14ac:dyDescent="0.2">
      <c r="A125" s="420" t="s">
        <v>2305</v>
      </c>
      <c r="B125" s="429">
        <f>SUM(B120:B124)</f>
        <v>914012641.51999998</v>
      </c>
      <c r="C125" s="782"/>
      <c r="D125" s="429">
        <f>SUM(D120:D124)</f>
        <v>1001437192.36</v>
      </c>
    </row>
    <row r="126" spans="1:4" ht="15" x14ac:dyDescent="0.2">
      <c r="A126" s="420"/>
      <c r="B126" s="429"/>
      <c r="C126" s="782"/>
      <c r="D126" s="429"/>
    </row>
    <row r="127" spans="1:4" ht="15" x14ac:dyDescent="0.2">
      <c r="A127" s="420" t="s">
        <v>3423</v>
      </c>
      <c r="B127" s="429"/>
      <c r="C127" s="782"/>
      <c r="D127" s="429"/>
    </row>
    <row r="128" spans="1:4" ht="14.25" x14ac:dyDescent="0.2">
      <c r="A128" s="421" t="s">
        <v>268</v>
      </c>
      <c r="B128" s="432">
        <v>131390298.43000001</v>
      </c>
      <c r="C128" s="783"/>
      <c r="D128" s="432">
        <v>121775566.84</v>
      </c>
    </row>
    <row r="129" spans="1:4" ht="14.25" x14ac:dyDescent="0.2">
      <c r="A129" s="421" t="s">
        <v>17</v>
      </c>
      <c r="B129" s="432">
        <v>120900363.05</v>
      </c>
      <c r="C129" s="783"/>
      <c r="D129" s="432">
        <v>90148676.959999993</v>
      </c>
    </row>
    <row r="130" spans="1:4" ht="14.25" x14ac:dyDescent="0.2">
      <c r="A130" s="421" t="s">
        <v>18</v>
      </c>
      <c r="B130" s="432">
        <v>27615551.850000001</v>
      </c>
      <c r="C130" s="783"/>
      <c r="D130" s="432">
        <v>15035855.51</v>
      </c>
    </row>
    <row r="131" spans="1:4" ht="14.25" x14ac:dyDescent="0.2">
      <c r="A131" s="421" t="s">
        <v>555</v>
      </c>
      <c r="B131" s="432">
        <v>294836507.54000002</v>
      </c>
      <c r="C131" s="783"/>
      <c r="D131" s="432">
        <v>69142957.310000002</v>
      </c>
    </row>
    <row r="132" spans="1:4" ht="14.25" x14ac:dyDescent="0.2">
      <c r="A132" s="421" t="s">
        <v>271</v>
      </c>
      <c r="B132" s="434">
        <v>73985548</v>
      </c>
      <c r="C132" s="783"/>
      <c r="D132" s="434">
        <v>157908131.88999999</v>
      </c>
    </row>
    <row r="133" spans="1:4" ht="15" x14ac:dyDescent="0.2">
      <c r="A133" s="420" t="s">
        <v>1096</v>
      </c>
      <c r="B133" s="429">
        <f>SUM(B128:B132)</f>
        <v>648728268.87000012</v>
      </c>
      <c r="C133" s="782"/>
      <c r="D133" s="429">
        <f>SUM(D128:D132)</f>
        <v>454011188.50999999</v>
      </c>
    </row>
    <row r="134" spans="1:4" ht="15" x14ac:dyDescent="0.2">
      <c r="A134" s="424"/>
      <c r="B134" s="441"/>
      <c r="C134" s="786"/>
      <c r="D134" s="441"/>
    </row>
    <row r="135" spans="1:4" s="443" customFormat="1" ht="15.75" thickBot="1" x14ac:dyDescent="0.25">
      <c r="A135" s="419" t="s">
        <v>3427</v>
      </c>
      <c r="B135" s="427" t="s">
        <v>3417</v>
      </c>
      <c r="C135" s="785"/>
      <c r="D135" s="427" t="s">
        <v>2678</v>
      </c>
    </row>
    <row r="136" spans="1:4" ht="15" x14ac:dyDescent="0.2">
      <c r="A136" s="420"/>
      <c r="B136" s="429"/>
      <c r="C136" s="782"/>
      <c r="D136" s="429"/>
    </row>
    <row r="137" spans="1:4" ht="15" x14ac:dyDescent="0.2">
      <c r="A137" s="420" t="s">
        <v>3424</v>
      </c>
      <c r="B137" s="429"/>
      <c r="C137" s="782"/>
      <c r="D137" s="429"/>
    </row>
    <row r="138" spans="1:4" ht="14.25" x14ac:dyDescent="0.2">
      <c r="A138" s="421" t="s">
        <v>268</v>
      </c>
      <c r="B138" s="432">
        <v>629426277.59000003</v>
      </c>
      <c r="C138" s="783"/>
      <c r="D138" s="432">
        <v>601750888.99000001</v>
      </c>
    </row>
    <row r="139" spans="1:4" ht="14.25" x14ac:dyDescent="0.2">
      <c r="A139" s="421" t="s">
        <v>17</v>
      </c>
      <c r="B139" s="432">
        <v>256458087.13999999</v>
      </c>
      <c r="C139" s="783"/>
      <c r="D139" s="432">
        <v>215764600.09</v>
      </c>
    </row>
    <row r="140" spans="1:4" ht="14.25" x14ac:dyDescent="0.2">
      <c r="A140" s="421" t="s">
        <v>18</v>
      </c>
      <c r="B140" s="432">
        <v>30442234.93</v>
      </c>
      <c r="C140" s="783"/>
      <c r="D140" s="432">
        <v>264126444.78</v>
      </c>
    </row>
    <row r="141" spans="1:4" ht="14.25" x14ac:dyDescent="0.2">
      <c r="A141" s="421" t="s">
        <v>555</v>
      </c>
      <c r="B141" s="432">
        <v>102071997.53</v>
      </c>
      <c r="C141" s="783"/>
      <c r="D141" s="432">
        <v>133951771.75</v>
      </c>
    </row>
    <row r="142" spans="1:4" ht="14.25" x14ac:dyDescent="0.2">
      <c r="A142" s="421" t="s">
        <v>271</v>
      </c>
      <c r="B142" s="434">
        <v>428509291</v>
      </c>
      <c r="C142" s="783"/>
      <c r="D142" s="434">
        <v>340766703.94999999</v>
      </c>
    </row>
    <row r="143" spans="1:4" ht="15" x14ac:dyDescent="0.2">
      <c r="A143" s="420" t="s">
        <v>1593</v>
      </c>
      <c r="B143" s="429">
        <f>SUM(B138:B142)</f>
        <v>1446907888.1900001</v>
      </c>
      <c r="C143" s="782"/>
      <c r="D143" s="429">
        <f>SUM(D138:D142)</f>
        <v>1556360409.5600002</v>
      </c>
    </row>
    <row r="144" spans="1:4" ht="15" x14ac:dyDescent="0.2">
      <c r="A144" s="420"/>
      <c r="B144" s="429"/>
      <c r="C144" s="782"/>
      <c r="D144" s="429"/>
    </row>
    <row r="145" spans="1:4" ht="15" x14ac:dyDescent="0.2">
      <c r="A145" s="420" t="s">
        <v>1774</v>
      </c>
      <c r="B145" s="429"/>
      <c r="C145" s="782"/>
      <c r="D145" s="429"/>
    </row>
    <row r="146" spans="1:4" ht="14.25" x14ac:dyDescent="0.2">
      <c r="A146" s="421" t="s">
        <v>17</v>
      </c>
      <c r="B146" s="432">
        <v>52275836.009999998</v>
      </c>
      <c r="C146" s="783"/>
      <c r="D146" s="432">
        <v>9784794.5500000007</v>
      </c>
    </row>
    <row r="147" spans="1:4" ht="14.25" x14ac:dyDescent="0.2">
      <c r="A147" s="421" t="s">
        <v>555</v>
      </c>
      <c r="B147" s="434">
        <v>2270108531.9499998</v>
      </c>
      <c r="C147" s="783"/>
      <c r="D147" s="434">
        <v>824708889.45000005</v>
      </c>
    </row>
    <row r="148" spans="1:4" ht="15" x14ac:dyDescent="0.2">
      <c r="A148" s="420" t="s">
        <v>1775</v>
      </c>
      <c r="B148" s="429">
        <f>SUM(B146:B147)</f>
        <v>2322384367.96</v>
      </c>
      <c r="C148" s="782"/>
      <c r="D148" s="429">
        <f>SUM(D146:D147)</f>
        <v>834493684</v>
      </c>
    </row>
    <row r="149" spans="1:4" ht="15" x14ac:dyDescent="0.2">
      <c r="A149" s="420"/>
      <c r="B149" s="429"/>
      <c r="C149" s="782"/>
      <c r="D149" s="429"/>
    </row>
    <row r="150" spans="1:4" ht="15.75" thickBot="1" x14ac:dyDescent="0.25">
      <c r="A150" s="420" t="s">
        <v>394</v>
      </c>
      <c r="B150" s="437">
        <f>B143+B133+B125+B117+B109+B96+B89+B100+B81+B148</f>
        <v>145230668185.56998</v>
      </c>
      <c r="C150" s="782"/>
      <c r="D150" s="437">
        <f>D143+D133+D125+D117+D109+D96+D89+D100+D81+D148</f>
        <v>134416583928.69998</v>
      </c>
    </row>
    <row r="151" spans="1:4" ht="15.75" thickTop="1" x14ac:dyDescent="0.2">
      <c r="A151" s="420"/>
      <c r="B151" s="429"/>
      <c r="C151" s="782"/>
      <c r="D151" s="429"/>
    </row>
    <row r="152" spans="1:4" ht="15" x14ac:dyDescent="0.2">
      <c r="A152" s="420" t="s">
        <v>3441</v>
      </c>
      <c r="B152" s="429">
        <f>B69-B150</f>
        <v>86694776302.570038</v>
      </c>
      <c r="C152" s="782"/>
      <c r="D152" s="429">
        <f>D69-D150</f>
        <v>71768673404.990021</v>
      </c>
    </row>
    <row r="153" spans="1:4" ht="15" x14ac:dyDescent="0.2">
      <c r="A153" s="420"/>
      <c r="B153" s="429"/>
      <c r="C153" s="782"/>
      <c r="D153" s="429"/>
    </row>
    <row r="154" spans="1:4" ht="12.75" x14ac:dyDescent="0.2">
      <c r="A154" s="320" t="s">
        <v>3425</v>
      </c>
      <c r="B154" s="446"/>
      <c r="C154" s="447"/>
      <c r="D154" s="446"/>
    </row>
    <row r="155" spans="1:4" ht="26.25" customHeight="1" x14ac:dyDescent="0.2">
      <c r="A155" s="1071" t="s">
        <v>3429</v>
      </c>
      <c r="B155" s="1071"/>
      <c r="C155" s="1071"/>
      <c r="D155" s="1071"/>
    </row>
    <row r="156" spans="1:4" ht="12.75" x14ac:dyDescent="0.2">
      <c r="A156" s="1073" t="s">
        <v>3428</v>
      </c>
      <c r="B156" s="1073"/>
      <c r="C156" s="1073"/>
      <c r="D156" s="1073"/>
    </row>
    <row r="157" spans="1:4" ht="25.5" customHeight="1" x14ac:dyDescent="0.2">
      <c r="A157" s="1071" t="s">
        <v>3431</v>
      </c>
      <c r="B157" s="1071"/>
      <c r="C157" s="1071"/>
      <c r="D157" s="1071"/>
    </row>
    <row r="158" spans="1:4" ht="12.75" x14ac:dyDescent="0.2">
      <c r="A158" s="1071" t="s">
        <v>3430</v>
      </c>
      <c r="B158" s="1071"/>
      <c r="C158" s="1071"/>
      <c r="D158" s="1071"/>
    </row>
    <row r="159" spans="1:4" ht="15" x14ac:dyDescent="0.2">
      <c r="A159" s="441"/>
      <c r="B159" s="441"/>
      <c r="C159" s="442"/>
      <c r="D159" s="441"/>
    </row>
  </sheetData>
  <mergeCells count="8">
    <mergeCell ref="A157:D157"/>
    <mergeCell ref="A158:D158"/>
    <mergeCell ref="A1:D1"/>
    <mergeCell ref="A3:D3"/>
    <mergeCell ref="A4:D4"/>
    <mergeCell ref="A155:D155"/>
    <mergeCell ref="A156:D156"/>
    <mergeCell ref="A2:D2"/>
  </mergeCells>
  <phoneticPr fontId="0" type="noConversion"/>
  <pageMargins left="0.6692913385826772" right="0.27559055118110237" top="0.9055118110236221" bottom="0.43307086614173229" header="0.39370078740157483" footer="0.23622047244094491"/>
  <pageSetup paperSize="9" scale="75" firstPageNumber="6" fitToHeight="2" orientation="portrait" r:id="rId1"/>
  <headerFooter alignWithMargins="0">
    <oddHeader xml:space="preserve">&amp;C&amp;"Arial,Negrita"UNIVERSIDAD DE COSTA RICA
VICERRECTORÍA DE ADMINISTRACIÓN
OFICINA DE ADMINISTRACIÓN FINANCIERA&amp;R&amp;"Arial,Negrita"
</oddHeader>
    <oddFooter>&amp;C&amp;12&amp;P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G28"/>
  <sheetViews>
    <sheetView workbookViewId="0">
      <selection activeCell="E1" sqref="E1"/>
    </sheetView>
  </sheetViews>
  <sheetFormatPr baseColWidth="10" defaultRowHeight="12.75" x14ac:dyDescent="0.2"/>
  <cols>
    <col min="1" max="1" width="43" style="28" bestFit="1" customWidth="1"/>
    <col min="2" max="2" width="5.28515625" style="28" customWidth="1"/>
    <col min="3" max="3" width="19.42578125" style="29" bestFit="1" customWidth="1"/>
    <col min="4" max="4" width="4.42578125" style="29" customWidth="1"/>
    <col min="5" max="5" width="8.28515625" style="33" customWidth="1"/>
    <col min="6" max="6" width="22" style="33" customWidth="1"/>
    <col min="7" max="7" width="17.42578125" style="30" customWidth="1"/>
    <col min="8" max="8" width="7.140625" style="28" customWidth="1"/>
    <col min="9" max="256" width="10.85546875" style="28"/>
    <col min="257" max="257" width="8" style="28" customWidth="1"/>
    <col min="258" max="258" width="22.42578125" style="28" customWidth="1"/>
    <col min="259" max="259" width="17.7109375" style="28" customWidth="1"/>
    <col min="260" max="260" width="3" style="28" customWidth="1"/>
    <col min="261" max="261" width="11.85546875" style="28" customWidth="1"/>
    <col min="262" max="262" width="3.140625" style="28" customWidth="1"/>
    <col min="263" max="263" width="17.42578125" style="28" customWidth="1"/>
    <col min="264" max="264" width="7.140625" style="28" customWidth="1"/>
    <col min="265" max="512" width="10.85546875" style="28"/>
    <col min="513" max="513" width="8" style="28" customWidth="1"/>
    <col min="514" max="514" width="22.42578125" style="28" customWidth="1"/>
    <col min="515" max="515" width="17.7109375" style="28" customWidth="1"/>
    <col min="516" max="516" width="3" style="28" customWidth="1"/>
    <col min="517" max="517" width="11.85546875" style="28" customWidth="1"/>
    <col min="518" max="518" width="3.140625" style="28" customWidth="1"/>
    <col min="519" max="519" width="17.42578125" style="28" customWidth="1"/>
    <col min="520" max="520" width="7.140625" style="28" customWidth="1"/>
    <col min="521" max="768" width="10.85546875" style="28"/>
    <col min="769" max="769" width="8" style="28" customWidth="1"/>
    <col min="770" max="770" width="22.42578125" style="28" customWidth="1"/>
    <col min="771" max="771" width="17.7109375" style="28" customWidth="1"/>
    <col min="772" max="772" width="3" style="28" customWidth="1"/>
    <col min="773" max="773" width="11.85546875" style="28" customWidth="1"/>
    <col min="774" max="774" width="3.140625" style="28" customWidth="1"/>
    <col min="775" max="775" width="17.42578125" style="28" customWidth="1"/>
    <col min="776" max="776" width="7.140625" style="28" customWidth="1"/>
    <col min="777" max="1024" width="10.85546875" style="28"/>
    <col min="1025" max="1025" width="8" style="28" customWidth="1"/>
    <col min="1026" max="1026" width="22.42578125" style="28" customWidth="1"/>
    <col min="1027" max="1027" width="17.7109375" style="28" customWidth="1"/>
    <col min="1028" max="1028" width="3" style="28" customWidth="1"/>
    <col min="1029" max="1029" width="11.85546875" style="28" customWidth="1"/>
    <col min="1030" max="1030" width="3.140625" style="28" customWidth="1"/>
    <col min="1031" max="1031" width="17.42578125" style="28" customWidth="1"/>
    <col min="1032" max="1032" width="7.140625" style="28" customWidth="1"/>
    <col min="1033" max="1280" width="10.85546875" style="28"/>
    <col min="1281" max="1281" width="8" style="28" customWidth="1"/>
    <col min="1282" max="1282" width="22.42578125" style="28" customWidth="1"/>
    <col min="1283" max="1283" width="17.7109375" style="28" customWidth="1"/>
    <col min="1284" max="1284" width="3" style="28" customWidth="1"/>
    <col min="1285" max="1285" width="11.85546875" style="28" customWidth="1"/>
    <col min="1286" max="1286" width="3.140625" style="28" customWidth="1"/>
    <col min="1287" max="1287" width="17.42578125" style="28" customWidth="1"/>
    <col min="1288" max="1288" width="7.140625" style="28" customWidth="1"/>
    <col min="1289" max="1536" width="10.85546875" style="28"/>
    <col min="1537" max="1537" width="8" style="28" customWidth="1"/>
    <col min="1538" max="1538" width="22.42578125" style="28" customWidth="1"/>
    <col min="1539" max="1539" width="17.7109375" style="28" customWidth="1"/>
    <col min="1540" max="1540" width="3" style="28" customWidth="1"/>
    <col min="1541" max="1541" width="11.85546875" style="28" customWidth="1"/>
    <col min="1542" max="1542" width="3.140625" style="28" customWidth="1"/>
    <col min="1543" max="1543" width="17.42578125" style="28" customWidth="1"/>
    <col min="1544" max="1544" width="7.140625" style="28" customWidth="1"/>
    <col min="1545" max="1792" width="10.85546875" style="28"/>
    <col min="1793" max="1793" width="8" style="28" customWidth="1"/>
    <col min="1794" max="1794" width="22.42578125" style="28" customWidth="1"/>
    <col min="1795" max="1795" width="17.7109375" style="28" customWidth="1"/>
    <col min="1796" max="1796" width="3" style="28" customWidth="1"/>
    <col min="1797" max="1797" width="11.85546875" style="28" customWidth="1"/>
    <col min="1798" max="1798" width="3.140625" style="28" customWidth="1"/>
    <col min="1799" max="1799" width="17.42578125" style="28" customWidth="1"/>
    <col min="1800" max="1800" width="7.140625" style="28" customWidth="1"/>
    <col min="1801" max="2048" width="10.85546875" style="28"/>
    <col min="2049" max="2049" width="8" style="28" customWidth="1"/>
    <col min="2050" max="2050" width="22.42578125" style="28" customWidth="1"/>
    <col min="2051" max="2051" width="17.7109375" style="28" customWidth="1"/>
    <col min="2052" max="2052" width="3" style="28" customWidth="1"/>
    <col min="2053" max="2053" width="11.85546875" style="28" customWidth="1"/>
    <col min="2054" max="2054" width="3.140625" style="28" customWidth="1"/>
    <col min="2055" max="2055" width="17.42578125" style="28" customWidth="1"/>
    <col min="2056" max="2056" width="7.140625" style="28" customWidth="1"/>
    <col min="2057" max="2304" width="10.85546875" style="28"/>
    <col min="2305" max="2305" width="8" style="28" customWidth="1"/>
    <col min="2306" max="2306" width="22.42578125" style="28" customWidth="1"/>
    <col min="2307" max="2307" width="17.7109375" style="28" customWidth="1"/>
    <col min="2308" max="2308" width="3" style="28" customWidth="1"/>
    <col min="2309" max="2309" width="11.85546875" style="28" customWidth="1"/>
    <col min="2310" max="2310" width="3.140625" style="28" customWidth="1"/>
    <col min="2311" max="2311" width="17.42578125" style="28" customWidth="1"/>
    <col min="2312" max="2312" width="7.140625" style="28" customWidth="1"/>
    <col min="2313" max="2560" width="10.85546875" style="28"/>
    <col min="2561" max="2561" width="8" style="28" customWidth="1"/>
    <col min="2562" max="2562" width="22.42578125" style="28" customWidth="1"/>
    <col min="2563" max="2563" width="17.7109375" style="28" customWidth="1"/>
    <col min="2564" max="2564" width="3" style="28" customWidth="1"/>
    <col min="2565" max="2565" width="11.85546875" style="28" customWidth="1"/>
    <col min="2566" max="2566" width="3.140625" style="28" customWidth="1"/>
    <col min="2567" max="2567" width="17.42578125" style="28" customWidth="1"/>
    <col min="2568" max="2568" width="7.140625" style="28" customWidth="1"/>
    <col min="2569" max="2816" width="10.85546875" style="28"/>
    <col min="2817" max="2817" width="8" style="28" customWidth="1"/>
    <col min="2818" max="2818" width="22.42578125" style="28" customWidth="1"/>
    <col min="2819" max="2819" width="17.7109375" style="28" customWidth="1"/>
    <col min="2820" max="2820" width="3" style="28" customWidth="1"/>
    <col min="2821" max="2821" width="11.85546875" style="28" customWidth="1"/>
    <col min="2822" max="2822" width="3.140625" style="28" customWidth="1"/>
    <col min="2823" max="2823" width="17.42578125" style="28" customWidth="1"/>
    <col min="2824" max="2824" width="7.140625" style="28" customWidth="1"/>
    <col min="2825" max="3072" width="10.85546875" style="28"/>
    <col min="3073" max="3073" width="8" style="28" customWidth="1"/>
    <col min="3074" max="3074" width="22.42578125" style="28" customWidth="1"/>
    <col min="3075" max="3075" width="17.7109375" style="28" customWidth="1"/>
    <col min="3076" max="3076" width="3" style="28" customWidth="1"/>
    <col min="3077" max="3077" width="11.85546875" style="28" customWidth="1"/>
    <col min="3078" max="3078" width="3.140625" style="28" customWidth="1"/>
    <col min="3079" max="3079" width="17.42578125" style="28" customWidth="1"/>
    <col min="3080" max="3080" width="7.140625" style="28" customWidth="1"/>
    <col min="3081" max="3328" width="10.85546875" style="28"/>
    <col min="3329" max="3329" width="8" style="28" customWidth="1"/>
    <col min="3330" max="3330" width="22.42578125" style="28" customWidth="1"/>
    <col min="3331" max="3331" width="17.7109375" style="28" customWidth="1"/>
    <col min="3332" max="3332" width="3" style="28" customWidth="1"/>
    <col min="3333" max="3333" width="11.85546875" style="28" customWidth="1"/>
    <col min="3334" max="3334" width="3.140625" style="28" customWidth="1"/>
    <col min="3335" max="3335" width="17.42578125" style="28" customWidth="1"/>
    <col min="3336" max="3336" width="7.140625" style="28" customWidth="1"/>
    <col min="3337" max="3584" width="10.85546875" style="28"/>
    <col min="3585" max="3585" width="8" style="28" customWidth="1"/>
    <col min="3586" max="3586" width="22.42578125" style="28" customWidth="1"/>
    <col min="3587" max="3587" width="17.7109375" style="28" customWidth="1"/>
    <col min="3588" max="3588" width="3" style="28" customWidth="1"/>
    <col min="3589" max="3589" width="11.85546875" style="28" customWidth="1"/>
    <col min="3590" max="3590" width="3.140625" style="28" customWidth="1"/>
    <col min="3591" max="3591" width="17.42578125" style="28" customWidth="1"/>
    <col min="3592" max="3592" width="7.140625" style="28" customWidth="1"/>
    <col min="3593" max="3840" width="10.85546875" style="28"/>
    <col min="3841" max="3841" width="8" style="28" customWidth="1"/>
    <col min="3842" max="3842" width="22.42578125" style="28" customWidth="1"/>
    <col min="3843" max="3843" width="17.7109375" style="28" customWidth="1"/>
    <col min="3844" max="3844" width="3" style="28" customWidth="1"/>
    <col min="3845" max="3845" width="11.85546875" style="28" customWidth="1"/>
    <col min="3846" max="3846" width="3.140625" style="28" customWidth="1"/>
    <col min="3847" max="3847" width="17.42578125" style="28" customWidth="1"/>
    <col min="3848" max="3848" width="7.140625" style="28" customWidth="1"/>
    <col min="3849" max="4096" width="10.85546875" style="28"/>
    <col min="4097" max="4097" width="8" style="28" customWidth="1"/>
    <col min="4098" max="4098" width="22.42578125" style="28" customWidth="1"/>
    <col min="4099" max="4099" width="17.7109375" style="28" customWidth="1"/>
    <col min="4100" max="4100" width="3" style="28" customWidth="1"/>
    <col min="4101" max="4101" width="11.85546875" style="28" customWidth="1"/>
    <col min="4102" max="4102" width="3.140625" style="28" customWidth="1"/>
    <col min="4103" max="4103" width="17.42578125" style="28" customWidth="1"/>
    <col min="4104" max="4104" width="7.140625" style="28" customWidth="1"/>
    <col min="4105" max="4352" width="10.85546875" style="28"/>
    <col min="4353" max="4353" width="8" style="28" customWidth="1"/>
    <col min="4354" max="4354" width="22.42578125" style="28" customWidth="1"/>
    <col min="4355" max="4355" width="17.7109375" style="28" customWidth="1"/>
    <col min="4356" max="4356" width="3" style="28" customWidth="1"/>
    <col min="4357" max="4357" width="11.85546875" style="28" customWidth="1"/>
    <col min="4358" max="4358" width="3.140625" style="28" customWidth="1"/>
    <col min="4359" max="4359" width="17.42578125" style="28" customWidth="1"/>
    <col min="4360" max="4360" width="7.140625" style="28" customWidth="1"/>
    <col min="4361" max="4608" width="10.85546875" style="28"/>
    <col min="4609" max="4609" width="8" style="28" customWidth="1"/>
    <col min="4610" max="4610" width="22.42578125" style="28" customWidth="1"/>
    <col min="4611" max="4611" width="17.7109375" style="28" customWidth="1"/>
    <col min="4612" max="4612" width="3" style="28" customWidth="1"/>
    <col min="4613" max="4613" width="11.85546875" style="28" customWidth="1"/>
    <col min="4614" max="4614" width="3.140625" style="28" customWidth="1"/>
    <col min="4615" max="4615" width="17.42578125" style="28" customWidth="1"/>
    <col min="4616" max="4616" width="7.140625" style="28" customWidth="1"/>
    <col min="4617" max="4864" width="10.85546875" style="28"/>
    <col min="4865" max="4865" width="8" style="28" customWidth="1"/>
    <col min="4866" max="4866" width="22.42578125" style="28" customWidth="1"/>
    <col min="4867" max="4867" width="17.7109375" style="28" customWidth="1"/>
    <col min="4868" max="4868" width="3" style="28" customWidth="1"/>
    <col min="4869" max="4869" width="11.85546875" style="28" customWidth="1"/>
    <col min="4870" max="4870" width="3.140625" style="28" customWidth="1"/>
    <col min="4871" max="4871" width="17.42578125" style="28" customWidth="1"/>
    <col min="4872" max="4872" width="7.140625" style="28" customWidth="1"/>
    <col min="4873" max="5120" width="10.85546875" style="28"/>
    <col min="5121" max="5121" width="8" style="28" customWidth="1"/>
    <col min="5122" max="5122" width="22.42578125" style="28" customWidth="1"/>
    <col min="5123" max="5123" width="17.7109375" style="28" customWidth="1"/>
    <col min="5124" max="5124" width="3" style="28" customWidth="1"/>
    <col min="5125" max="5125" width="11.85546875" style="28" customWidth="1"/>
    <col min="5126" max="5126" width="3.140625" style="28" customWidth="1"/>
    <col min="5127" max="5127" width="17.42578125" style="28" customWidth="1"/>
    <col min="5128" max="5128" width="7.140625" style="28" customWidth="1"/>
    <col min="5129" max="5376" width="10.85546875" style="28"/>
    <col min="5377" max="5377" width="8" style="28" customWidth="1"/>
    <col min="5378" max="5378" width="22.42578125" style="28" customWidth="1"/>
    <col min="5379" max="5379" width="17.7109375" style="28" customWidth="1"/>
    <col min="5380" max="5380" width="3" style="28" customWidth="1"/>
    <col min="5381" max="5381" width="11.85546875" style="28" customWidth="1"/>
    <col min="5382" max="5382" width="3.140625" style="28" customWidth="1"/>
    <col min="5383" max="5383" width="17.42578125" style="28" customWidth="1"/>
    <col min="5384" max="5384" width="7.140625" style="28" customWidth="1"/>
    <col min="5385" max="5632" width="10.85546875" style="28"/>
    <col min="5633" max="5633" width="8" style="28" customWidth="1"/>
    <col min="5634" max="5634" width="22.42578125" style="28" customWidth="1"/>
    <col min="5635" max="5635" width="17.7109375" style="28" customWidth="1"/>
    <col min="5636" max="5636" width="3" style="28" customWidth="1"/>
    <col min="5637" max="5637" width="11.85546875" style="28" customWidth="1"/>
    <col min="5638" max="5638" width="3.140625" style="28" customWidth="1"/>
    <col min="5639" max="5639" width="17.42578125" style="28" customWidth="1"/>
    <col min="5640" max="5640" width="7.140625" style="28" customWidth="1"/>
    <col min="5641" max="5888" width="10.85546875" style="28"/>
    <col min="5889" max="5889" width="8" style="28" customWidth="1"/>
    <col min="5890" max="5890" width="22.42578125" style="28" customWidth="1"/>
    <col min="5891" max="5891" width="17.7109375" style="28" customWidth="1"/>
    <col min="5892" max="5892" width="3" style="28" customWidth="1"/>
    <col min="5893" max="5893" width="11.85546875" style="28" customWidth="1"/>
    <col min="5894" max="5894" width="3.140625" style="28" customWidth="1"/>
    <col min="5895" max="5895" width="17.42578125" style="28" customWidth="1"/>
    <col min="5896" max="5896" width="7.140625" style="28" customWidth="1"/>
    <col min="5897" max="6144" width="10.85546875" style="28"/>
    <col min="6145" max="6145" width="8" style="28" customWidth="1"/>
    <col min="6146" max="6146" width="22.42578125" style="28" customWidth="1"/>
    <col min="6147" max="6147" width="17.7109375" style="28" customWidth="1"/>
    <col min="6148" max="6148" width="3" style="28" customWidth="1"/>
    <col min="6149" max="6149" width="11.85546875" style="28" customWidth="1"/>
    <col min="6150" max="6150" width="3.140625" style="28" customWidth="1"/>
    <col min="6151" max="6151" width="17.42578125" style="28" customWidth="1"/>
    <col min="6152" max="6152" width="7.140625" style="28" customWidth="1"/>
    <col min="6153" max="6400" width="10.85546875" style="28"/>
    <col min="6401" max="6401" width="8" style="28" customWidth="1"/>
    <col min="6402" max="6402" width="22.42578125" style="28" customWidth="1"/>
    <col min="6403" max="6403" width="17.7109375" style="28" customWidth="1"/>
    <col min="6404" max="6404" width="3" style="28" customWidth="1"/>
    <col min="6405" max="6405" width="11.85546875" style="28" customWidth="1"/>
    <col min="6406" max="6406" width="3.140625" style="28" customWidth="1"/>
    <col min="6407" max="6407" width="17.42578125" style="28" customWidth="1"/>
    <col min="6408" max="6408" width="7.140625" style="28" customWidth="1"/>
    <col min="6409" max="6656" width="10.85546875" style="28"/>
    <col min="6657" max="6657" width="8" style="28" customWidth="1"/>
    <col min="6658" max="6658" width="22.42578125" style="28" customWidth="1"/>
    <col min="6659" max="6659" width="17.7109375" style="28" customWidth="1"/>
    <col min="6660" max="6660" width="3" style="28" customWidth="1"/>
    <col min="6661" max="6661" width="11.85546875" style="28" customWidth="1"/>
    <col min="6662" max="6662" width="3.140625" style="28" customWidth="1"/>
    <col min="6663" max="6663" width="17.42578125" style="28" customWidth="1"/>
    <col min="6664" max="6664" width="7.140625" style="28" customWidth="1"/>
    <col min="6665" max="6912" width="10.85546875" style="28"/>
    <col min="6913" max="6913" width="8" style="28" customWidth="1"/>
    <col min="6914" max="6914" width="22.42578125" style="28" customWidth="1"/>
    <col min="6915" max="6915" width="17.7109375" style="28" customWidth="1"/>
    <col min="6916" max="6916" width="3" style="28" customWidth="1"/>
    <col min="6917" max="6917" width="11.85546875" style="28" customWidth="1"/>
    <col min="6918" max="6918" width="3.140625" style="28" customWidth="1"/>
    <col min="6919" max="6919" width="17.42578125" style="28" customWidth="1"/>
    <col min="6920" max="6920" width="7.140625" style="28" customWidth="1"/>
    <col min="6921" max="7168" width="10.85546875" style="28"/>
    <col min="7169" max="7169" width="8" style="28" customWidth="1"/>
    <col min="7170" max="7170" width="22.42578125" style="28" customWidth="1"/>
    <col min="7171" max="7171" width="17.7109375" style="28" customWidth="1"/>
    <col min="7172" max="7172" width="3" style="28" customWidth="1"/>
    <col min="7173" max="7173" width="11.85546875" style="28" customWidth="1"/>
    <col min="7174" max="7174" width="3.140625" style="28" customWidth="1"/>
    <col min="7175" max="7175" width="17.42578125" style="28" customWidth="1"/>
    <col min="7176" max="7176" width="7.140625" style="28" customWidth="1"/>
    <col min="7177" max="7424" width="10.85546875" style="28"/>
    <col min="7425" max="7425" width="8" style="28" customWidth="1"/>
    <col min="7426" max="7426" width="22.42578125" style="28" customWidth="1"/>
    <col min="7427" max="7427" width="17.7109375" style="28" customWidth="1"/>
    <col min="7428" max="7428" width="3" style="28" customWidth="1"/>
    <col min="7429" max="7429" width="11.85546875" style="28" customWidth="1"/>
    <col min="7430" max="7430" width="3.140625" style="28" customWidth="1"/>
    <col min="7431" max="7431" width="17.42578125" style="28" customWidth="1"/>
    <col min="7432" max="7432" width="7.140625" style="28" customWidth="1"/>
    <col min="7433" max="7680" width="10.85546875" style="28"/>
    <col min="7681" max="7681" width="8" style="28" customWidth="1"/>
    <col min="7682" max="7682" width="22.42578125" style="28" customWidth="1"/>
    <col min="7683" max="7683" width="17.7109375" style="28" customWidth="1"/>
    <col min="7684" max="7684" width="3" style="28" customWidth="1"/>
    <col min="7685" max="7685" width="11.85546875" style="28" customWidth="1"/>
    <col min="7686" max="7686" width="3.140625" style="28" customWidth="1"/>
    <col min="7687" max="7687" width="17.42578125" style="28" customWidth="1"/>
    <col min="7688" max="7688" width="7.140625" style="28" customWidth="1"/>
    <col min="7689" max="7936" width="10.85546875" style="28"/>
    <col min="7937" max="7937" width="8" style="28" customWidth="1"/>
    <col min="7938" max="7938" width="22.42578125" style="28" customWidth="1"/>
    <col min="7939" max="7939" width="17.7109375" style="28" customWidth="1"/>
    <col min="7940" max="7940" width="3" style="28" customWidth="1"/>
    <col min="7941" max="7941" width="11.85546875" style="28" customWidth="1"/>
    <col min="7942" max="7942" width="3.140625" style="28" customWidth="1"/>
    <col min="7943" max="7943" width="17.42578125" style="28" customWidth="1"/>
    <col min="7944" max="7944" width="7.140625" style="28" customWidth="1"/>
    <col min="7945" max="8192" width="10.85546875" style="28"/>
    <col min="8193" max="8193" width="8" style="28" customWidth="1"/>
    <col min="8194" max="8194" width="22.42578125" style="28" customWidth="1"/>
    <col min="8195" max="8195" width="17.7109375" style="28" customWidth="1"/>
    <col min="8196" max="8196" width="3" style="28" customWidth="1"/>
    <col min="8197" max="8197" width="11.85546875" style="28" customWidth="1"/>
    <col min="8198" max="8198" width="3.140625" style="28" customWidth="1"/>
    <col min="8199" max="8199" width="17.42578125" style="28" customWidth="1"/>
    <col min="8200" max="8200" width="7.140625" style="28" customWidth="1"/>
    <col min="8201" max="8448" width="10.85546875" style="28"/>
    <col min="8449" max="8449" width="8" style="28" customWidth="1"/>
    <col min="8450" max="8450" width="22.42578125" style="28" customWidth="1"/>
    <col min="8451" max="8451" width="17.7109375" style="28" customWidth="1"/>
    <col min="8452" max="8452" width="3" style="28" customWidth="1"/>
    <col min="8453" max="8453" width="11.85546875" style="28" customWidth="1"/>
    <col min="8454" max="8454" width="3.140625" style="28" customWidth="1"/>
    <col min="8455" max="8455" width="17.42578125" style="28" customWidth="1"/>
    <col min="8456" max="8456" width="7.140625" style="28" customWidth="1"/>
    <col min="8457" max="8704" width="10.85546875" style="28"/>
    <col min="8705" max="8705" width="8" style="28" customWidth="1"/>
    <col min="8706" max="8706" width="22.42578125" style="28" customWidth="1"/>
    <col min="8707" max="8707" width="17.7109375" style="28" customWidth="1"/>
    <col min="8708" max="8708" width="3" style="28" customWidth="1"/>
    <col min="8709" max="8709" width="11.85546875" style="28" customWidth="1"/>
    <col min="8710" max="8710" width="3.140625" style="28" customWidth="1"/>
    <col min="8711" max="8711" width="17.42578125" style="28" customWidth="1"/>
    <col min="8712" max="8712" width="7.140625" style="28" customWidth="1"/>
    <col min="8713" max="8960" width="10.85546875" style="28"/>
    <col min="8961" max="8961" width="8" style="28" customWidth="1"/>
    <col min="8962" max="8962" width="22.42578125" style="28" customWidth="1"/>
    <col min="8963" max="8963" width="17.7109375" style="28" customWidth="1"/>
    <col min="8964" max="8964" width="3" style="28" customWidth="1"/>
    <col min="8965" max="8965" width="11.85546875" style="28" customWidth="1"/>
    <col min="8966" max="8966" width="3.140625" style="28" customWidth="1"/>
    <col min="8967" max="8967" width="17.42578125" style="28" customWidth="1"/>
    <col min="8968" max="8968" width="7.140625" style="28" customWidth="1"/>
    <col min="8969" max="9216" width="10.85546875" style="28"/>
    <col min="9217" max="9217" width="8" style="28" customWidth="1"/>
    <col min="9218" max="9218" width="22.42578125" style="28" customWidth="1"/>
    <col min="9219" max="9219" width="17.7109375" style="28" customWidth="1"/>
    <col min="9220" max="9220" width="3" style="28" customWidth="1"/>
    <col min="9221" max="9221" width="11.85546875" style="28" customWidth="1"/>
    <col min="9222" max="9222" width="3.140625" style="28" customWidth="1"/>
    <col min="9223" max="9223" width="17.42578125" style="28" customWidth="1"/>
    <col min="9224" max="9224" width="7.140625" style="28" customWidth="1"/>
    <col min="9225" max="9472" width="10.85546875" style="28"/>
    <col min="9473" max="9473" width="8" style="28" customWidth="1"/>
    <col min="9474" max="9474" width="22.42578125" style="28" customWidth="1"/>
    <col min="9475" max="9475" width="17.7109375" style="28" customWidth="1"/>
    <col min="9476" max="9476" width="3" style="28" customWidth="1"/>
    <col min="9477" max="9477" width="11.85546875" style="28" customWidth="1"/>
    <col min="9478" max="9478" width="3.140625" style="28" customWidth="1"/>
    <col min="9479" max="9479" width="17.42578125" style="28" customWidth="1"/>
    <col min="9480" max="9480" width="7.140625" style="28" customWidth="1"/>
    <col min="9481" max="9728" width="10.85546875" style="28"/>
    <col min="9729" max="9729" width="8" style="28" customWidth="1"/>
    <col min="9730" max="9730" width="22.42578125" style="28" customWidth="1"/>
    <col min="9731" max="9731" width="17.7109375" style="28" customWidth="1"/>
    <col min="9732" max="9732" width="3" style="28" customWidth="1"/>
    <col min="9733" max="9733" width="11.85546875" style="28" customWidth="1"/>
    <col min="9734" max="9734" width="3.140625" style="28" customWidth="1"/>
    <col min="9735" max="9735" width="17.42578125" style="28" customWidth="1"/>
    <col min="9736" max="9736" width="7.140625" style="28" customWidth="1"/>
    <col min="9737" max="9984" width="10.85546875" style="28"/>
    <col min="9985" max="9985" width="8" style="28" customWidth="1"/>
    <col min="9986" max="9986" width="22.42578125" style="28" customWidth="1"/>
    <col min="9987" max="9987" width="17.7109375" style="28" customWidth="1"/>
    <col min="9988" max="9988" width="3" style="28" customWidth="1"/>
    <col min="9989" max="9989" width="11.85546875" style="28" customWidth="1"/>
    <col min="9990" max="9990" width="3.140625" style="28" customWidth="1"/>
    <col min="9991" max="9991" width="17.42578125" style="28" customWidth="1"/>
    <col min="9992" max="9992" width="7.140625" style="28" customWidth="1"/>
    <col min="9993" max="10240" width="10.85546875" style="28"/>
    <col min="10241" max="10241" width="8" style="28" customWidth="1"/>
    <col min="10242" max="10242" width="22.42578125" style="28" customWidth="1"/>
    <col min="10243" max="10243" width="17.7109375" style="28" customWidth="1"/>
    <col min="10244" max="10244" width="3" style="28" customWidth="1"/>
    <col min="10245" max="10245" width="11.85546875" style="28" customWidth="1"/>
    <col min="10246" max="10246" width="3.140625" style="28" customWidth="1"/>
    <col min="10247" max="10247" width="17.42578125" style="28" customWidth="1"/>
    <col min="10248" max="10248" width="7.140625" style="28" customWidth="1"/>
    <col min="10249" max="10496" width="10.85546875" style="28"/>
    <col min="10497" max="10497" width="8" style="28" customWidth="1"/>
    <col min="10498" max="10498" width="22.42578125" style="28" customWidth="1"/>
    <col min="10499" max="10499" width="17.7109375" style="28" customWidth="1"/>
    <col min="10500" max="10500" width="3" style="28" customWidth="1"/>
    <col min="10501" max="10501" width="11.85546875" style="28" customWidth="1"/>
    <col min="10502" max="10502" width="3.140625" style="28" customWidth="1"/>
    <col min="10503" max="10503" width="17.42578125" style="28" customWidth="1"/>
    <col min="10504" max="10504" width="7.140625" style="28" customWidth="1"/>
    <col min="10505" max="10752" width="10.85546875" style="28"/>
    <col min="10753" max="10753" width="8" style="28" customWidth="1"/>
    <col min="10754" max="10754" width="22.42578125" style="28" customWidth="1"/>
    <col min="10755" max="10755" width="17.7109375" style="28" customWidth="1"/>
    <col min="10756" max="10756" width="3" style="28" customWidth="1"/>
    <col min="10757" max="10757" width="11.85546875" style="28" customWidth="1"/>
    <col min="10758" max="10758" width="3.140625" style="28" customWidth="1"/>
    <col min="10759" max="10759" width="17.42578125" style="28" customWidth="1"/>
    <col min="10760" max="10760" width="7.140625" style="28" customWidth="1"/>
    <col min="10761" max="11008" width="10.85546875" style="28"/>
    <col min="11009" max="11009" width="8" style="28" customWidth="1"/>
    <col min="11010" max="11010" width="22.42578125" style="28" customWidth="1"/>
    <col min="11011" max="11011" width="17.7109375" style="28" customWidth="1"/>
    <col min="11012" max="11012" width="3" style="28" customWidth="1"/>
    <col min="11013" max="11013" width="11.85546875" style="28" customWidth="1"/>
    <col min="11014" max="11014" width="3.140625" style="28" customWidth="1"/>
    <col min="11015" max="11015" width="17.42578125" style="28" customWidth="1"/>
    <col min="11016" max="11016" width="7.140625" style="28" customWidth="1"/>
    <col min="11017" max="11264" width="10.85546875" style="28"/>
    <col min="11265" max="11265" width="8" style="28" customWidth="1"/>
    <col min="11266" max="11266" width="22.42578125" style="28" customWidth="1"/>
    <col min="11267" max="11267" width="17.7109375" style="28" customWidth="1"/>
    <col min="11268" max="11268" width="3" style="28" customWidth="1"/>
    <col min="11269" max="11269" width="11.85546875" style="28" customWidth="1"/>
    <col min="11270" max="11270" width="3.140625" style="28" customWidth="1"/>
    <col min="11271" max="11271" width="17.42578125" style="28" customWidth="1"/>
    <col min="11272" max="11272" width="7.140625" style="28" customWidth="1"/>
    <col min="11273" max="11520" width="10.85546875" style="28"/>
    <col min="11521" max="11521" width="8" style="28" customWidth="1"/>
    <col min="11522" max="11522" width="22.42578125" style="28" customWidth="1"/>
    <col min="11523" max="11523" width="17.7109375" style="28" customWidth="1"/>
    <col min="11524" max="11524" width="3" style="28" customWidth="1"/>
    <col min="11525" max="11525" width="11.85546875" style="28" customWidth="1"/>
    <col min="11526" max="11526" width="3.140625" style="28" customWidth="1"/>
    <col min="11527" max="11527" width="17.42578125" style="28" customWidth="1"/>
    <col min="11528" max="11528" width="7.140625" style="28" customWidth="1"/>
    <col min="11529" max="11776" width="10.85546875" style="28"/>
    <col min="11777" max="11777" width="8" style="28" customWidth="1"/>
    <col min="11778" max="11778" width="22.42578125" style="28" customWidth="1"/>
    <col min="11779" max="11779" width="17.7109375" style="28" customWidth="1"/>
    <col min="11780" max="11780" width="3" style="28" customWidth="1"/>
    <col min="11781" max="11781" width="11.85546875" style="28" customWidth="1"/>
    <col min="11782" max="11782" width="3.140625" style="28" customWidth="1"/>
    <col min="11783" max="11783" width="17.42578125" style="28" customWidth="1"/>
    <col min="11784" max="11784" width="7.140625" style="28" customWidth="1"/>
    <col min="11785" max="12032" width="10.85546875" style="28"/>
    <col min="12033" max="12033" width="8" style="28" customWidth="1"/>
    <col min="12034" max="12034" width="22.42578125" style="28" customWidth="1"/>
    <col min="12035" max="12035" width="17.7109375" style="28" customWidth="1"/>
    <col min="12036" max="12036" width="3" style="28" customWidth="1"/>
    <col min="12037" max="12037" width="11.85546875" style="28" customWidth="1"/>
    <col min="12038" max="12038" width="3.140625" style="28" customWidth="1"/>
    <col min="12039" max="12039" width="17.42578125" style="28" customWidth="1"/>
    <col min="12040" max="12040" width="7.140625" style="28" customWidth="1"/>
    <col min="12041" max="12288" width="10.85546875" style="28"/>
    <col min="12289" max="12289" width="8" style="28" customWidth="1"/>
    <col min="12290" max="12290" width="22.42578125" style="28" customWidth="1"/>
    <col min="12291" max="12291" width="17.7109375" style="28" customWidth="1"/>
    <col min="12292" max="12292" width="3" style="28" customWidth="1"/>
    <col min="12293" max="12293" width="11.85546875" style="28" customWidth="1"/>
    <col min="12294" max="12294" width="3.140625" style="28" customWidth="1"/>
    <col min="12295" max="12295" width="17.42578125" style="28" customWidth="1"/>
    <col min="12296" max="12296" width="7.140625" style="28" customWidth="1"/>
    <col min="12297" max="12544" width="10.85546875" style="28"/>
    <col min="12545" max="12545" width="8" style="28" customWidth="1"/>
    <col min="12546" max="12546" width="22.42578125" style="28" customWidth="1"/>
    <col min="12547" max="12547" width="17.7109375" style="28" customWidth="1"/>
    <col min="12548" max="12548" width="3" style="28" customWidth="1"/>
    <col min="12549" max="12549" width="11.85546875" style="28" customWidth="1"/>
    <col min="12550" max="12550" width="3.140625" style="28" customWidth="1"/>
    <col min="12551" max="12551" width="17.42578125" style="28" customWidth="1"/>
    <col min="12552" max="12552" width="7.140625" style="28" customWidth="1"/>
    <col min="12553" max="12800" width="10.85546875" style="28"/>
    <col min="12801" max="12801" width="8" style="28" customWidth="1"/>
    <col min="12802" max="12802" width="22.42578125" style="28" customWidth="1"/>
    <col min="12803" max="12803" width="17.7109375" style="28" customWidth="1"/>
    <col min="12804" max="12804" width="3" style="28" customWidth="1"/>
    <col min="12805" max="12805" width="11.85546875" style="28" customWidth="1"/>
    <col min="12806" max="12806" width="3.140625" style="28" customWidth="1"/>
    <col min="12807" max="12807" width="17.42578125" style="28" customWidth="1"/>
    <col min="12808" max="12808" width="7.140625" style="28" customWidth="1"/>
    <col min="12809" max="13056" width="10.85546875" style="28"/>
    <col min="13057" max="13057" width="8" style="28" customWidth="1"/>
    <col min="13058" max="13058" width="22.42578125" style="28" customWidth="1"/>
    <col min="13059" max="13059" width="17.7109375" style="28" customWidth="1"/>
    <col min="13060" max="13060" width="3" style="28" customWidth="1"/>
    <col min="13061" max="13061" width="11.85546875" style="28" customWidth="1"/>
    <col min="13062" max="13062" width="3.140625" style="28" customWidth="1"/>
    <col min="13063" max="13063" width="17.42578125" style="28" customWidth="1"/>
    <col min="13064" max="13064" width="7.140625" style="28" customWidth="1"/>
    <col min="13065" max="13312" width="10.85546875" style="28"/>
    <col min="13313" max="13313" width="8" style="28" customWidth="1"/>
    <col min="13314" max="13314" width="22.42578125" style="28" customWidth="1"/>
    <col min="13315" max="13315" width="17.7109375" style="28" customWidth="1"/>
    <col min="13316" max="13316" width="3" style="28" customWidth="1"/>
    <col min="13317" max="13317" width="11.85546875" style="28" customWidth="1"/>
    <col min="13318" max="13318" width="3.140625" style="28" customWidth="1"/>
    <col min="13319" max="13319" width="17.42578125" style="28" customWidth="1"/>
    <col min="13320" max="13320" width="7.140625" style="28" customWidth="1"/>
    <col min="13321" max="13568" width="10.85546875" style="28"/>
    <col min="13569" max="13569" width="8" style="28" customWidth="1"/>
    <col min="13570" max="13570" width="22.42578125" style="28" customWidth="1"/>
    <col min="13571" max="13571" width="17.7109375" style="28" customWidth="1"/>
    <col min="13572" max="13572" width="3" style="28" customWidth="1"/>
    <col min="13573" max="13573" width="11.85546875" style="28" customWidth="1"/>
    <col min="13574" max="13574" width="3.140625" style="28" customWidth="1"/>
    <col min="13575" max="13575" width="17.42578125" style="28" customWidth="1"/>
    <col min="13576" max="13576" width="7.140625" style="28" customWidth="1"/>
    <col min="13577" max="13824" width="10.85546875" style="28"/>
    <col min="13825" max="13825" width="8" style="28" customWidth="1"/>
    <col min="13826" max="13826" width="22.42578125" style="28" customWidth="1"/>
    <col min="13827" max="13827" width="17.7109375" style="28" customWidth="1"/>
    <col min="13828" max="13828" width="3" style="28" customWidth="1"/>
    <col min="13829" max="13829" width="11.85546875" style="28" customWidth="1"/>
    <col min="13830" max="13830" width="3.140625" style="28" customWidth="1"/>
    <col min="13831" max="13831" width="17.42578125" style="28" customWidth="1"/>
    <col min="13832" max="13832" width="7.140625" style="28" customWidth="1"/>
    <col min="13833" max="14080" width="10.85546875" style="28"/>
    <col min="14081" max="14081" width="8" style="28" customWidth="1"/>
    <col min="14082" max="14082" width="22.42578125" style="28" customWidth="1"/>
    <col min="14083" max="14083" width="17.7109375" style="28" customWidth="1"/>
    <col min="14084" max="14084" width="3" style="28" customWidth="1"/>
    <col min="14085" max="14085" width="11.85546875" style="28" customWidth="1"/>
    <col min="14086" max="14086" width="3.140625" style="28" customWidth="1"/>
    <col min="14087" max="14087" width="17.42578125" style="28" customWidth="1"/>
    <col min="14088" max="14088" width="7.140625" style="28" customWidth="1"/>
    <col min="14089" max="14336" width="10.85546875" style="28"/>
    <col min="14337" max="14337" width="8" style="28" customWidth="1"/>
    <col min="14338" max="14338" width="22.42578125" style="28" customWidth="1"/>
    <col min="14339" max="14339" width="17.7109375" style="28" customWidth="1"/>
    <col min="14340" max="14340" width="3" style="28" customWidth="1"/>
    <col min="14341" max="14341" width="11.85546875" style="28" customWidth="1"/>
    <col min="14342" max="14342" width="3.140625" style="28" customWidth="1"/>
    <col min="14343" max="14343" width="17.42578125" style="28" customWidth="1"/>
    <col min="14344" max="14344" width="7.140625" style="28" customWidth="1"/>
    <col min="14345" max="14592" width="10.85546875" style="28"/>
    <col min="14593" max="14593" width="8" style="28" customWidth="1"/>
    <col min="14594" max="14594" width="22.42578125" style="28" customWidth="1"/>
    <col min="14595" max="14595" width="17.7109375" style="28" customWidth="1"/>
    <col min="14596" max="14596" width="3" style="28" customWidth="1"/>
    <col min="14597" max="14597" width="11.85546875" style="28" customWidth="1"/>
    <col min="14598" max="14598" width="3.140625" style="28" customWidth="1"/>
    <col min="14599" max="14599" width="17.42578125" style="28" customWidth="1"/>
    <col min="14600" max="14600" width="7.140625" style="28" customWidth="1"/>
    <col min="14601" max="14848" width="10.85546875" style="28"/>
    <col min="14849" max="14849" width="8" style="28" customWidth="1"/>
    <col min="14850" max="14850" width="22.42578125" style="28" customWidth="1"/>
    <col min="14851" max="14851" width="17.7109375" style="28" customWidth="1"/>
    <col min="14852" max="14852" width="3" style="28" customWidth="1"/>
    <col min="14853" max="14853" width="11.85546875" style="28" customWidth="1"/>
    <col min="14854" max="14854" width="3.140625" style="28" customWidth="1"/>
    <col min="14855" max="14855" width="17.42578125" style="28" customWidth="1"/>
    <col min="14856" max="14856" width="7.140625" style="28" customWidth="1"/>
    <col min="14857" max="15104" width="10.85546875" style="28"/>
    <col min="15105" max="15105" width="8" style="28" customWidth="1"/>
    <col min="15106" max="15106" width="22.42578125" style="28" customWidth="1"/>
    <col min="15107" max="15107" width="17.7109375" style="28" customWidth="1"/>
    <col min="15108" max="15108" width="3" style="28" customWidth="1"/>
    <col min="15109" max="15109" width="11.85546875" style="28" customWidth="1"/>
    <col min="15110" max="15110" width="3.140625" style="28" customWidth="1"/>
    <col min="15111" max="15111" width="17.42578125" style="28" customWidth="1"/>
    <col min="15112" max="15112" width="7.140625" style="28" customWidth="1"/>
    <col min="15113" max="15360" width="10.85546875" style="28"/>
    <col min="15361" max="15361" width="8" style="28" customWidth="1"/>
    <col min="15362" max="15362" width="22.42578125" style="28" customWidth="1"/>
    <col min="15363" max="15363" width="17.7109375" style="28" customWidth="1"/>
    <col min="15364" max="15364" width="3" style="28" customWidth="1"/>
    <col min="15365" max="15365" width="11.85546875" style="28" customWidth="1"/>
    <col min="15366" max="15366" width="3.140625" style="28" customWidth="1"/>
    <col min="15367" max="15367" width="17.42578125" style="28" customWidth="1"/>
    <col min="15368" max="15368" width="7.140625" style="28" customWidth="1"/>
    <col min="15369" max="15616" width="10.85546875" style="28"/>
    <col min="15617" max="15617" width="8" style="28" customWidth="1"/>
    <col min="15618" max="15618" width="22.42578125" style="28" customWidth="1"/>
    <col min="15619" max="15619" width="17.7109375" style="28" customWidth="1"/>
    <col min="15620" max="15620" width="3" style="28" customWidth="1"/>
    <col min="15621" max="15621" width="11.85546875" style="28" customWidth="1"/>
    <col min="15622" max="15622" width="3.140625" style="28" customWidth="1"/>
    <col min="15623" max="15623" width="17.42578125" style="28" customWidth="1"/>
    <col min="15624" max="15624" width="7.140625" style="28" customWidth="1"/>
    <col min="15625" max="15872" width="10.85546875" style="28"/>
    <col min="15873" max="15873" width="8" style="28" customWidth="1"/>
    <col min="15874" max="15874" width="22.42578125" style="28" customWidth="1"/>
    <col min="15875" max="15875" width="17.7109375" style="28" customWidth="1"/>
    <col min="15876" max="15876" width="3" style="28" customWidth="1"/>
    <col min="15877" max="15877" width="11.85546875" style="28" customWidth="1"/>
    <col min="15878" max="15878" width="3.140625" style="28" customWidth="1"/>
    <col min="15879" max="15879" width="17.42578125" style="28" customWidth="1"/>
    <col min="15880" max="15880" width="7.140625" style="28" customWidth="1"/>
    <col min="15881" max="16128" width="10.85546875" style="28"/>
    <col min="16129" max="16129" width="8" style="28" customWidth="1"/>
    <col min="16130" max="16130" width="22.42578125" style="28" customWidth="1"/>
    <col min="16131" max="16131" width="17.7109375" style="28" customWidth="1"/>
    <col min="16132" max="16132" width="3" style="28" customWidth="1"/>
    <col min="16133" max="16133" width="11.85546875" style="28" customWidth="1"/>
    <col min="16134" max="16134" width="3.140625" style="28" customWidth="1"/>
    <col min="16135" max="16135" width="17.42578125" style="28" customWidth="1"/>
    <col min="16136" max="16136" width="7.140625" style="28" customWidth="1"/>
    <col min="16137" max="16384" width="10.85546875" style="28"/>
  </cols>
  <sheetData>
    <row r="1" spans="1:7" x14ac:dyDescent="0.2">
      <c r="A1" s="503"/>
      <c r="B1" s="504"/>
      <c r="C1" s="503"/>
      <c r="D1" s="504"/>
      <c r="E1" s="505"/>
      <c r="F1" s="503"/>
      <c r="G1"/>
    </row>
    <row r="2" spans="1:7" ht="13.5" x14ac:dyDescent="0.2">
      <c r="A2" s="417" t="s">
        <v>3446</v>
      </c>
      <c r="B2" s="506"/>
      <c r="C2" s="507"/>
      <c r="D2" s="506"/>
      <c r="E2" s="508" t="s">
        <v>3447</v>
      </c>
      <c r="F2" s="507"/>
    </row>
    <row r="3" spans="1:7" ht="13.5" x14ac:dyDescent="0.2">
      <c r="A3" s="507"/>
      <c r="B3" s="506"/>
      <c r="C3" s="507"/>
      <c r="D3" s="506"/>
      <c r="E3" s="506"/>
      <c r="F3" s="507"/>
    </row>
    <row r="4" spans="1:7" ht="13.5" x14ac:dyDescent="0.2">
      <c r="A4" s="418" t="s">
        <v>2691</v>
      </c>
      <c r="B4" s="506"/>
      <c r="C4" s="507"/>
      <c r="D4" s="506"/>
      <c r="E4" s="506"/>
      <c r="F4" s="507"/>
    </row>
    <row r="5" spans="1:7" ht="13.5" x14ac:dyDescent="0.2">
      <c r="A5" s="507"/>
      <c r="B5" s="506"/>
      <c r="C5" s="507"/>
      <c r="D5" s="506"/>
      <c r="E5" s="506"/>
      <c r="F5" s="507"/>
    </row>
    <row r="6" spans="1:7" ht="13.5" x14ac:dyDescent="0.2">
      <c r="A6" s="509" t="s">
        <v>3448</v>
      </c>
      <c r="B6" s="510"/>
      <c r="C6" s="511">
        <v>347547528399.69</v>
      </c>
      <c r="D6" s="510"/>
      <c r="E6" s="510"/>
      <c r="F6" s="511"/>
    </row>
    <row r="7" spans="1:7" ht="13.5" x14ac:dyDescent="0.2">
      <c r="A7" s="509"/>
      <c r="B7" s="510"/>
      <c r="C7" s="511"/>
      <c r="D7" s="510"/>
      <c r="E7" s="510"/>
      <c r="F7" s="511"/>
    </row>
    <row r="8" spans="1:7" ht="13.5" x14ac:dyDescent="0.2">
      <c r="A8" s="509" t="s">
        <v>3449</v>
      </c>
      <c r="B8" s="510"/>
      <c r="C8" s="512">
        <v>231925444488.14001</v>
      </c>
      <c r="D8" s="510"/>
      <c r="E8" s="513">
        <f>C8/C6</f>
        <v>0.66732008009396304</v>
      </c>
      <c r="F8" s="511"/>
    </row>
    <row r="9" spans="1:7" ht="13.5" x14ac:dyDescent="0.2">
      <c r="A9" s="507"/>
      <c r="B9" s="510"/>
      <c r="C9" s="511"/>
      <c r="D9" s="510"/>
      <c r="E9" s="513"/>
      <c r="F9" s="511"/>
    </row>
    <row r="10" spans="1:7" ht="13.5" x14ac:dyDescent="0.2">
      <c r="A10" s="507" t="s">
        <v>3450</v>
      </c>
      <c r="B10" s="510"/>
      <c r="C10" s="511"/>
      <c r="D10" s="510"/>
      <c r="E10" s="513"/>
      <c r="F10" s="514">
        <f>C8-C6</f>
        <v>-115622083911.54999</v>
      </c>
    </row>
    <row r="11" spans="1:7" ht="13.5" x14ac:dyDescent="0.2">
      <c r="A11" s="507"/>
      <c r="B11" s="510"/>
      <c r="C11" s="511"/>
      <c r="D11" s="510"/>
      <c r="E11" s="513"/>
      <c r="F11" s="511"/>
    </row>
    <row r="12" spans="1:7" ht="13.5" x14ac:dyDescent="0.2">
      <c r="A12" s="507"/>
      <c r="B12" s="510"/>
      <c r="C12" s="511"/>
      <c r="D12" s="510"/>
      <c r="E12" s="513"/>
      <c r="F12" s="511"/>
    </row>
    <row r="13" spans="1:7" ht="13.5" x14ac:dyDescent="0.2">
      <c r="A13" s="418" t="s">
        <v>2692</v>
      </c>
      <c r="B13" s="510"/>
      <c r="C13" s="511"/>
      <c r="D13" s="510"/>
      <c r="E13" s="513"/>
      <c r="F13" s="511"/>
    </row>
    <row r="14" spans="1:7" ht="13.5" x14ac:dyDescent="0.2">
      <c r="A14" s="507"/>
      <c r="B14" s="510"/>
      <c r="C14" s="511"/>
      <c r="D14" s="510"/>
      <c r="E14" s="513"/>
      <c r="F14" s="511"/>
    </row>
    <row r="15" spans="1:7" ht="13.5" x14ac:dyDescent="0.2">
      <c r="A15" s="509" t="s">
        <v>3448</v>
      </c>
      <c r="B15" s="510"/>
      <c r="C15" s="511">
        <v>347547528399.69</v>
      </c>
      <c r="D15" s="510"/>
      <c r="E15" s="513"/>
      <c r="F15" s="507"/>
    </row>
    <row r="16" spans="1:7" ht="13.5" x14ac:dyDescent="0.2">
      <c r="A16" s="509"/>
      <c r="B16" s="510"/>
      <c r="C16" s="511"/>
      <c r="D16" s="510"/>
      <c r="E16" s="513"/>
      <c r="F16" s="511"/>
    </row>
    <row r="17" spans="1:6" ht="13.5" x14ac:dyDescent="0.2">
      <c r="A17" s="509" t="s">
        <v>3451</v>
      </c>
      <c r="B17" s="510"/>
      <c r="C17" s="512">
        <v>145230668185.57001</v>
      </c>
      <c r="D17" s="510"/>
      <c r="E17" s="513">
        <f>C17/C15</f>
        <v>0.41787282693189065</v>
      </c>
      <c r="F17" s="507"/>
    </row>
    <row r="18" spans="1:6" ht="13.5" x14ac:dyDescent="0.2">
      <c r="A18" s="507"/>
      <c r="B18" s="510"/>
      <c r="C18" s="511"/>
      <c r="D18" s="510"/>
      <c r="E18" s="510"/>
      <c r="F18" s="511"/>
    </row>
    <row r="19" spans="1:6" ht="13.5" x14ac:dyDescent="0.2">
      <c r="A19" s="507" t="s">
        <v>750</v>
      </c>
      <c r="B19" s="510"/>
      <c r="C19" s="511"/>
      <c r="D19" s="510"/>
      <c r="E19" s="510"/>
      <c r="F19" s="512">
        <f>C15-C17</f>
        <v>202316860214.12</v>
      </c>
    </row>
    <row r="20" spans="1:6" ht="13.5" x14ac:dyDescent="0.2">
      <c r="A20" s="507"/>
      <c r="B20" s="510"/>
      <c r="C20" s="511"/>
      <c r="D20" s="510"/>
      <c r="E20" s="510"/>
      <c r="F20" s="511"/>
    </row>
    <row r="21" spans="1:6" ht="13.5" x14ac:dyDescent="0.2">
      <c r="A21" s="515"/>
      <c r="B21" s="516"/>
      <c r="C21" s="515"/>
      <c r="D21" s="516"/>
      <c r="E21" s="516"/>
      <c r="F21" s="515"/>
    </row>
    <row r="22" spans="1:6" ht="14.25" thickBot="1" x14ac:dyDescent="0.25">
      <c r="A22" s="517" t="s">
        <v>3416</v>
      </c>
      <c r="B22" s="516"/>
      <c r="C22" s="515"/>
      <c r="D22" s="518"/>
      <c r="E22" s="518"/>
      <c r="F22" s="524">
        <f>+F10+F19</f>
        <v>86694776302.570007</v>
      </c>
    </row>
    <row r="23" spans="1:6" ht="13.5" thickTop="1" x14ac:dyDescent="0.2">
      <c r="A23" s="273"/>
      <c r="B23" s="487"/>
      <c r="C23" s="273"/>
      <c r="D23" s="487"/>
      <c r="E23" s="487"/>
      <c r="F23" s="273"/>
    </row>
    <row r="24" spans="1:6" x14ac:dyDescent="0.2">
      <c r="A24" s="273"/>
      <c r="B24" s="487"/>
      <c r="C24" s="273"/>
      <c r="D24" s="487"/>
      <c r="E24" s="487"/>
      <c r="F24" s="273"/>
    </row>
    <row r="25" spans="1:6" ht="14.25" x14ac:dyDescent="0.2">
      <c r="A25" s="519"/>
      <c r="B25" s="520"/>
      <c r="C25" s="520"/>
      <c r="D25" s="521"/>
      <c r="E25" s="521"/>
      <c r="F25" s="522"/>
    </row>
    <row r="26" spans="1:6" ht="14.25" x14ac:dyDescent="0.2">
      <c r="A26" s="523" t="s">
        <v>3425</v>
      </c>
      <c r="B26" s="520"/>
      <c r="C26" s="520"/>
      <c r="D26" s="520"/>
      <c r="E26" s="520"/>
      <c r="F26" s="522"/>
    </row>
    <row r="27" spans="1:6" ht="14.25" x14ac:dyDescent="0.2">
      <c r="A27" s="523"/>
      <c r="B27" s="520"/>
      <c r="C27" s="520"/>
      <c r="D27" s="520"/>
      <c r="E27" s="520"/>
      <c r="F27" s="522"/>
    </row>
    <row r="28" spans="1:6" ht="27" customHeight="1" x14ac:dyDescent="0.2">
      <c r="A28" s="1074" t="s">
        <v>3452</v>
      </c>
      <c r="B28" s="1074"/>
      <c r="C28" s="1074"/>
      <c r="D28" s="1074"/>
      <c r="E28" s="1074"/>
      <c r="F28" s="1074"/>
    </row>
  </sheetData>
  <mergeCells count="1">
    <mergeCell ref="A28:F28"/>
  </mergeCells>
  <phoneticPr fontId="0" type="noConversion"/>
  <pageMargins left="0.78740157480314965" right="0.6692913385826772" top="2.4015748031496065" bottom="1.1811023622047245" header="0.94488188976377963" footer="0.94488188976377963"/>
  <pageSetup paperSize="9" scale="86" orientation="portrait" r:id="rId1"/>
  <headerFooter alignWithMargins="0">
    <oddHeader>&amp;C&amp;"Arial Negrita,Negrita"&amp;K000000UNIVERSIDAD DE COSTA RICA
VICERRECTORÍA DE ADMINISTRACIÓN
OFICINA DE ADMINISTRACIÓN FINANCIERA
RESUMEN DE LA SITUACIÓN PRESUPUESTARIA Y FINANCIERA
Al 30 de junio de 2017
Expresado en colones</oddHead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F51"/>
  <sheetViews>
    <sheetView workbookViewId="0">
      <selection sqref="A1:F1"/>
    </sheetView>
  </sheetViews>
  <sheetFormatPr baseColWidth="10" defaultRowHeight="12.75" x14ac:dyDescent="0.2"/>
  <cols>
    <col min="1" max="1" width="10" style="764" customWidth="1"/>
    <col min="2" max="2" width="49.42578125" style="764" customWidth="1"/>
    <col min="3" max="3" width="17.42578125" style="764" customWidth="1"/>
    <col min="4" max="4" width="2.140625" style="122" customWidth="1"/>
    <col min="5" max="5" width="18" style="764" customWidth="1"/>
    <col min="6" max="6" width="10.7109375" style="1044" customWidth="1"/>
    <col min="7" max="256" width="11.42578125" style="764"/>
    <col min="257" max="257" width="10" style="764" customWidth="1"/>
    <col min="258" max="258" width="49.42578125" style="764" customWidth="1"/>
    <col min="259" max="259" width="17.42578125" style="764" customWidth="1"/>
    <col min="260" max="260" width="2.140625" style="764" customWidth="1"/>
    <col min="261" max="261" width="18" style="764" customWidth="1"/>
    <col min="262" max="262" width="10.7109375" style="764" customWidth="1"/>
    <col min="263" max="512" width="11.42578125" style="764"/>
    <col min="513" max="513" width="10" style="764" customWidth="1"/>
    <col min="514" max="514" width="49.42578125" style="764" customWidth="1"/>
    <col min="515" max="515" width="17.42578125" style="764" customWidth="1"/>
    <col min="516" max="516" width="2.140625" style="764" customWidth="1"/>
    <col min="517" max="517" width="18" style="764" customWidth="1"/>
    <col min="518" max="518" width="10.7109375" style="764" customWidth="1"/>
    <col min="519" max="768" width="11.42578125" style="764"/>
    <col min="769" max="769" width="10" style="764" customWidth="1"/>
    <col min="770" max="770" width="49.42578125" style="764" customWidth="1"/>
    <col min="771" max="771" width="17.42578125" style="764" customWidth="1"/>
    <col min="772" max="772" width="2.140625" style="764" customWidth="1"/>
    <col min="773" max="773" width="18" style="764" customWidth="1"/>
    <col min="774" max="774" width="10.7109375" style="764" customWidth="1"/>
    <col min="775" max="1024" width="11.42578125" style="764"/>
    <col min="1025" max="1025" width="10" style="764" customWidth="1"/>
    <col min="1026" max="1026" width="49.42578125" style="764" customWidth="1"/>
    <col min="1027" max="1027" width="17.42578125" style="764" customWidth="1"/>
    <col min="1028" max="1028" width="2.140625" style="764" customWidth="1"/>
    <col min="1029" max="1029" width="18" style="764" customWidth="1"/>
    <col min="1030" max="1030" width="10.7109375" style="764" customWidth="1"/>
    <col min="1031" max="1280" width="11.42578125" style="764"/>
    <col min="1281" max="1281" width="10" style="764" customWidth="1"/>
    <col min="1282" max="1282" width="49.42578125" style="764" customWidth="1"/>
    <col min="1283" max="1283" width="17.42578125" style="764" customWidth="1"/>
    <col min="1284" max="1284" width="2.140625" style="764" customWidth="1"/>
    <col min="1285" max="1285" width="18" style="764" customWidth="1"/>
    <col min="1286" max="1286" width="10.7109375" style="764" customWidth="1"/>
    <col min="1287" max="1536" width="11.42578125" style="764"/>
    <col min="1537" max="1537" width="10" style="764" customWidth="1"/>
    <col min="1538" max="1538" width="49.42578125" style="764" customWidth="1"/>
    <col min="1539" max="1539" width="17.42578125" style="764" customWidth="1"/>
    <col min="1540" max="1540" width="2.140625" style="764" customWidth="1"/>
    <col min="1541" max="1541" width="18" style="764" customWidth="1"/>
    <col min="1542" max="1542" width="10.7109375" style="764" customWidth="1"/>
    <col min="1543" max="1792" width="11.42578125" style="764"/>
    <col min="1793" max="1793" width="10" style="764" customWidth="1"/>
    <col min="1794" max="1794" width="49.42578125" style="764" customWidth="1"/>
    <col min="1795" max="1795" width="17.42578125" style="764" customWidth="1"/>
    <col min="1796" max="1796" width="2.140625" style="764" customWidth="1"/>
    <col min="1797" max="1797" width="18" style="764" customWidth="1"/>
    <col min="1798" max="1798" width="10.7109375" style="764" customWidth="1"/>
    <col min="1799" max="2048" width="11.42578125" style="764"/>
    <col min="2049" max="2049" width="10" style="764" customWidth="1"/>
    <col min="2050" max="2050" width="49.42578125" style="764" customWidth="1"/>
    <col min="2051" max="2051" width="17.42578125" style="764" customWidth="1"/>
    <col min="2052" max="2052" width="2.140625" style="764" customWidth="1"/>
    <col min="2053" max="2053" width="18" style="764" customWidth="1"/>
    <col min="2054" max="2054" width="10.7109375" style="764" customWidth="1"/>
    <col min="2055" max="2304" width="11.42578125" style="764"/>
    <col min="2305" max="2305" width="10" style="764" customWidth="1"/>
    <col min="2306" max="2306" width="49.42578125" style="764" customWidth="1"/>
    <col min="2307" max="2307" width="17.42578125" style="764" customWidth="1"/>
    <col min="2308" max="2308" width="2.140625" style="764" customWidth="1"/>
    <col min="2309" max="2309" width="18" style="764" customWidth="1"/>
    <col min="2310" max="2310" width="10.7109375" style="764" customWidth="1"/>
    <col min="2311" max="2560" width="11.42578125" style="764"/>
    <col min="2561" max="2561" width="10" style="764" customWidth="1"/>
    <col min="2562" max="2562" width="49.42578125" style="764" customWidth="1"/>
    <col min="2563" max="2563" width="17.42578125" style="764" customWidth="1"/>
    <col min="2564" max="2564" width="2.140625" style="764" customWidth="1"/>
    <col min="2565" max="2565" width="18" style="764" customWidth="1"/>
    <col min="2566" max="2566" width="10.7109375" style="764" customWidth="1"/>
    <col min="2567" max="2816" width="11.42578125" style="764"/>
    <col min="2817" max="2817" width="10" style="764" customWidth="1"/>
    <col min="2818" max="2818" width="49.42578125" style="764" customWidth="1"/>
    <col min="2819" max="2819" width="17.42578125" style="764" customWidth="1"/>
    <col min="2820" max="2820" width="2.140625" style="764" customWidth="1"/>
    <col min="2821" max="2821" width="18" style="764" customWidth="1"/>
    <col min="2822" max="2822" width="10.7109375" style="764" customWidth="1"/>
    <col min="2823" max="3072" width="11.42578125" style="764"/>
    <col min="3073" max="3073" width="10" style="764" customWidth="1"/>
    <col min="3074" max="3074" width="49.42578125" style="764" customWidth="1"/>
    <col min="3075" max="3075" width="17.42578125" style="764" customWidth="1"/>
    <col min="3076" max="3076" width="2.140625" style="764" customWidth="1"/>
    <col min="3077" max="3077" width="18" style="764" customWidth="1"/>
    <col min="3078" max="3078" width="10.7109375" style="764" customWidth="1"/>
    <col min="3079" max="3328" width="11.42578125" style="764"/>
    <col min="3329" max="3329" width="10" style="764" customWidth="1"/>
    <col min="3330" max="3330" width="49.42578125" style="764" customWidth="1"/>
    <col min="3331" max="3331" width="17.42578125" style="764" customWidth="1"/>
    <col min="3332" max="3332" width="2.140625" style="764" customWidth="1"/>
    <col min="3333" max="3333" width="18" style="764" customWidth="1"/>
    <col min="3334" max="3334" width="10.7109375" style="764" customWidth="1"/>
    <col min="3335" max="3584" width="11.42578125" style="764"/>
    <col min="3585" max="3585" width="10" style="764" customWidth="1"/>
    <col min="3586" max="3586" width="49.42578125" style="764" customWidth="1"/>
    <col min="3587" max="3587" width="17.42578125" style="764" customWidth="1"/>
    <col min="3588" max="3588" width="2.140625" style="764" customWidth="1"/>
    <col min="3589" max="3589" width="18" style="764" customWidth="1"/>
    <col min="3590" max="3590" width="10.7109375" style="764" customWidth="1"/>
    <col min="3591" max="3840" width="11.42578125" style="764"/>
    <col min="3841" max="3841" width="10" style="764" customWidth="1"/>
    <col min="3842" max="3842" width="49.42578125" style="764" customWidth="1"/>
    <col min="3843" max="3843" width="17.42578125" style="764" customWidth="1"/>
    <col min="3844" max="3844" width="2.140625" style="764" customWidth="1"/>
    <col min="3845" max="3845" width="18" style="764" customWidth="1"/>
    <col min="3846" max="3846" width="10.7109375" style="764" customWidth="1"/>
    <col min="3847" max="4096" width="11.42578125" style="764"/>
    <col min="4097" max="4097" width="10" style="764" customWidth="1"/>
    <col min="4098" max="4098" width="49.42578125" style="764" customWidth="1"/>
    <col min="4099" max="4099" width="17.42578125" style="764" customWidth="1"/>
    <col min="4100" max="4100" width="2.140625" style="764" customWidth="1"/>
    <col min="4101" max="4101" width="18" style="764" customWidth="1"/>
    <col min="4102" max="4102" width="10.7109375" style="764" customWidth="1"/>
    <col min="4103" max="4352" width="11.42578125" style="764"/>
    <col min="4353" max="4353" width="10" style="764" customWidth="1"/>
    <col min="4354" max="4354" width="49.42578125" style="764" customWidth="1"/>
    <col min="4355" max="4355" width="17.42578125" style="764" customWidth="1"/>
    <col min="4356" max="4356" width="2.140625" style="764" customWidth="1"/>
    <col min="4357" max="4357" width="18" style="764" customWidth="1"/>
    <col min="4358" max="4358" width="10.7109375" style="764" customWidth="1"/>
    <col min="4359" max="4608" width="11.42578125" style="764"/>
    <col min="4609" max="4609" width="10" style="764" customWidth="1"/>
    <col min="4610" max="4610" width="49.42578125" style="764" customWidth="1"/>
    <col min="4611" max="4611" width="17.42578125" style="764" customWidth="1"/>
    <col min="4612" max="4612" width="2.140625" style="764" customWidth="1"/>
    <col min="4613" max="4613" width="18" style="764" customWidth="1"/>
    <col min="4614" max="4614" width="10.7109375" style="764" customWidth="1"/>
    <col min="4615" max="4864" width="11.42578125" style="764"/>
    <col min="4865" max="4865" width="10" style="764" customWidth="1"/>
    <col min="4866" max="4866" width="49.42578125" style="764" customWidth="1"/>
    <col min="4867" max="4867" width="17.42578125" style="764" customWidth="1"/>
    <col min="4868" max="4868" width="2.140625" style="764" customWidth="1"/>
    <col min="4869" max="4869" width="18" style="764" customWidth="1"/>
    <col min="4870" max="4870" width="10.7109375" style="764" customWidth="1"/>
    <col min="4871" max="5120" width="11.42578125" style="764"/>
    <col min="5121" max="5121" width="10" style="764" customWidth="1"/>
    <col min="5122" max="5122" width="49.42578125" style="764" customWidth="1"/>
    <col min="5123" max="5123" width="17.42578125" style="764" customWidth="1"/>
    <col min="5124" max="5124" width="2.140625" style="764" customWidth="1"/>
    <col min="5125" max="5125" width="18" style="764" customWidth="1"/>
    <col min="5126" max="5126" width="10.7109375" style="764" customWidth="1"/>
    <col min="5127" max="5376" width="11.42578125" style="764"/>
    <col min="5377" max="5377" width="10" style="764" customWidth="1"/>
    <col min="5378" max="5378" width="49.42578125" style="764" customWidth="1"/>
    <col min="5379" max="5379" width="17.42578125" style="764" customWidth="1"/>
    <col min="5380" max="5380" width="2.140625" style="764" customWidth="1"/>
    <col min="5381" max="5381" width="18" style="764" customWidth="1"/>
    <col min="5382" max="5382" width="10.7109375" style="764" customWidth="1"/>
    <col min="5383" max="5632" width="11.42578125" style="764"/>
    <col min="5633" max="5633" width="10" style="764" customWidth="1"/>
    <col min="5634" max="5634" width="49.42578125" style="764" customWidth="1"/>
    <col min="5635" max="5635" width="17.42578125" style="764" customWidth="1"/>
    <col min="5636" max="5636" width="2.140625" style="764" customWidth="1"/>
    <col min="5637" max="5637" width="18" style="764" customWidth="1"/>
    <col min="5638" max="5638" width="10.7109375" style="764" customWidth="1"/>
    <col min="5639" max="5888" width="11.42578125" style="764"/>
    <col min="5889" max="5889" width="10" style="764" customWidth="1"/>
    <col min="5890" max="5890" width="49.42578125" style="764" customWidth="1"/>
    <col min="5891" max="5891" width="17.42578125" style="764" customWidth="1"/>
    <col min="5892" max="5892" width="2.140625" style="764" customWidth="1"/>
    <col min="5893" max="5893" width="18" style="764" customWidth="1"/>
    <col min="5894" max="5894" width="10.7109375" style="764" customWidth="1"/>
    <col min="5895" max="6144" width="11.42578125" style="764"/>
    <col min="6145" max="6145" width="10" style="764" customWidth="1"/>
    <col min="6146" max="6146" width="49.42578125" style="764" customWidth="1"/>
    <col min="6147" max="6147" width="17.42578125" style="764" customWidth="1"/>
    <col min="6148" max="6148" width="2.140625" style="764" customWidth="1"/>
    <col min="6149" max="6149" width="18" style="764" customWidth="1"/>
    <col min="6150" max="6150" width="10.7109375" style="764" customWidth="1"/>
    <col min="6151" max="6400" width="11.42578125" style="764"/>
    <col min="6401" max="6401" width="10" style="764" customWidth="1"/>
    <col min="6402" max="6402" width="49.42578125" style="764" customWidth="1"/>
    <col min="6403" max="6403" width="17.42578125" style="764" customWidth="1"/>
    <col min="6404" max="6404" width="2.140625" style="764" customWidth="1"/>
    <col min="6405" max="6405" width="18" style="764" customWidth="1"/>
    <col min="6406" max="6406" width="10.7109375" style="764" customWidth="1"/>
    <col min="6407" max="6656" width="11.42578125" style="764"/>
    <col min="6657" max="6657" width="10" style="764" customWidth="1"/>
    <col min="6658" max="6658" width="49.42578125" style="764" customWidth="1"/>
    <col min="6659" max="6659" width="17.42578125" style="764" customWidth="1"/>
    <col min="6660" max="6660" width="2.140625" style="764" customWidth="1"/>
    <col min="6661" max="6661" width="18" style="764" customWidth="1"/>
    <col min="6662" max="6662" width="10.7109375" style="764" customWidth="1"/>
    <col min="6663" max="6912" width="11.42578125" style="764"/>
    <col min="6913" max="6913" width="10" style="764" customWidth="1"/>
    <col min="6914" max="6914" width="49.42578125" style="764" customWidth="1"/>
    <col min="6915" max="6915" width="17.42578125" style="764" customWidth="1"/>
    <col min="6916" max="6916" width="2.140625" style="764" customWidth="1"/>
    <col min="6917" max="6917" width="18" style="764" customWidth="1"/>
    <col min="6918" max="6918" width="10.7109375" style="764" customWidth="1"/>
    <col min="6919" max="7168" width="11.42578125" style="764"/>
    <col min="7169" max="7169" width="10" style="764" customWidth="1"/>
    <col min="7170" max="7170" width="49.42578125" style="764" customWidth="1"/>
    <col min="7171" max="7171" width="17.42578125" style="764" customWidth="1"/>
    <col min="7172" max="7172" width="2.140625" style="764" customWidth="1"/>
    <col min="7173" max="7173" width="18" style="764" customWidth="1"/>
    <col min="7174" max="7174" width="10.7109375" style="764" customWidth="1"/>
    <col min="7175" max="7424" width="11.42578125" style="764"/>
    <col min="7425" max="7425" width="10" style="764" customWidth="1"/>
    <col min="7426" max="7426" width="49.42578125" style="764" customWidth="1"/>
    <col min="7427" max="7427" width="17.42578125" style="764" customWidth="1"/>
    <col min="7428" max="7428" width="2.140625" style="764" customWidth="1"/>
    <col min="7429" max="7429" width="18" style="764" customWidth="1"/>
    <col min="7430" max="7430" width="10.7109375" style="764" customWidth="1"/>
    <col min="7431" max="7680" width="11.42578125" style="764"/>
    <col min="7681" max="7681" width="10" style="764" customWidth="1"/>
    <col min="7682" max="7682" width="49.42578125" style="764" customWidth="1"/>
    <col min="7683" max="7683" width="17.42578125" style="764" customWidth="1"/>
    <col min="7684" max="7684" width="2.140625" style="764" customWidth="1"/>
    <col min="7685" max="7685" width="18" style="764" customWidth="1"/>
    <col min="7686" max="7686" width="10.7109375" style="764" customWidth="1"/>
    <col min="7687" max="7936" width="11.42578125" style="764"/>
    <col min="7937" max="7937" width="10" style="764" customWidth="1"/>
    <col min="7938" max="7938" width="49.42578125" style="764" customWidth="1"/>
    <col min="7939" max="7939" width="17.42578125" style="764" customWidth="1"/>
    <col min="7940" max="7940" width="2.140625" style="764" customWidth="1"/>
    <col min="7941" max="7941" width="18" style="764" customWidth="1"/>
    <col min="7942" max="7942" width="10.7109375" style="764" customWidth="1"/>
    <col min="7943" max="8192" width="11.42578125" style="764"/>
    <col min="8193" max="8193" width="10" style="764" customWidth="1"/>
    <col min="8194" max="8194" width="49.42578125" style="764" customWidth="1"/>
    <col min="8195" max="8195" width="17.42578125" style="764" customWidth="1"/>
    <col min="8196" max="8196" width="2.140625" style="764" customWidth="1"/>
    <col min="8197" max="8197" width="18" style="764" customWidth="1"/>
    <col min="8198" max="8198" width="10.7109375" style="764" customWidth="1"/>
    <col min="8199" max="8448" width="11.42578125" style="764"/>
    <col min="8449" max="8449" width="10" style="764" customWidth="1"/>
    <col min="8450" max="8450" width="49.42578125" style="764" customWidth="1"/>
    <col min="8451" max="8451" width="17.42578125" style="764" customWidth="1"/>
    <col min="8452" max="8452" width="2.140625" style="764" customWidth="1"/>
    <col min="8453" max="8453" width="18" style="764" customWidth="1"/>
    <col min="8454" max="8454" width="10.7109375" style="764" customWidth="1"/>
    <col min="8455" max="8704" width="11.42578125" style="764"/>
    <col min="8705" max="8705" width="10" style="764" customWidth="1"/>
    <col min="8706" max="8706" width="49.42578125" style="764" customWidth="1"/>
    <col min="8707" max="8707" width="17.42578125" style="764" customWidth="1"/>
    <col min="8708" max="8708" width="2.140625" style="764" customWidth="1"/>
    <col min="8709" max="8709" width="18" style="764" customWidth="1"/>
    <col min="8710" max="8710" width="10.7109375" style="764" customWidth="1"/>
    <col min="8711" max="8960" width="11.42578125" style="764"/>
    <col min="8961" max="8961" width="10" style="764" customWidth="1"/>
    <col min="8962" max="8962" width="49.42578125" style="764" customWidth="1"/>
    <col min="8963" max="8963" width="17.42578125" style="764" customWidth="1"/>
    <col min="8964" max="8964" width="2.140625" style="764" customWidth="1"/>
    <col min="8965" max="8965" width="18" style="764" customWidth="1"/>
    <col min="8966" max="8966" width="10.7109375" style="764" customWidth="1"/>
    <col min="8967" max="9216" width="11.42578125" style="764"/>
    <col min="9217" max="9217" width="10" style="764" customWidth="1"/>
    <col min="9218" max="9218" width="49.42578125" style="764" customWidth="1"/>
    <col min="9219" max="9219" width="17.42578125" style="764" customWidth="1"/>
    <col min="9220" max="9220" width="2.140625" style="764" customWidth="1"/>
    <col min="9221" max="9221" width="18" style="764" customWidth="1"/>
    <col min="9222" max="9222" width="10.7109375" style="764" customWidth="1"/>
    <col min="9223" max="9472" width="11.42578125" style="764"/>
    <col min="9473" max="9473" width="10" style="764" customWidth="1"/>
    <col min="9474" max="9474" width="49.42578125" style="764" customWidth="1"/>
    <col min="9475" max="9475" width="17.42578125" style="764" customWidth="1"/>
    <col min="9476" max="9476" width="2.140625" style="764" customWidth="1"/>
    <col min="9477" max="9477" width="18" style="764" customWidth="1"/>
    <col min="9478" max="9478" width="10.7109375" style="764" customWidth="1"/>
    <col min="9479" max="9728" width="11.42578125" style="764"/>
    <col min="9729" max="9729" width="10" style="764" customWidth="1"/>
    <col min="9730" max="9730" width="49.42578125" style="764" customWidth="1"/>
    <col min="9731" max="9731" width="17.42578125" style="764" customWidth="1"/>
    <col min="9732" max="9732" width="2.140625" style="764" customWidth="1"/>
    <col min="9733" max="9733" width="18" style="764" customWidth="1"/>
    <col min="9734" max="9734" width="10.7109375" style="764" customWidth="1"/>
    <col min="9735" max="9984" width="11.42578125" style="764"/>
    <col min="9985" max="9985" width="10" style="764" customWidth="1"/>
    <col min="9986" max="9986" width="49.42578125" style="764" customWidth="1"/>
    <col min="9987" max="9987" width="17.42578125" style="764" customWidth="1"/>
    <col min="9988" max="9988" width="2.140625" style="764" customWidth="1"/>
    <col min="9989" max="9989" width="18" style="764" customWidth="1"/>
    <col min="9990" max="9990" width="10.7109375" style="764" customWidth="1"/>
    <col min="9991" max="10240" width="11.42578125" style="764"/>
    <col min="10241" max="10241" width="10" style="764" customWidth="1"/>
    <col min="10242" max="10242" width="49.42578125" style="764" customWidth="1"/>
    <col min="10243" max="10243" width="17.42578125" style="764" customWidth="1"/>
    <col min="10244" max="10244" width="2.140625" style="764" customWidth="1"/>
    <col min="10245" max="10245" width="18" style="764" customWidth="1"/>
    <col min="10246" max="10246" width="10.7109375" style="764" customWidth="1"/>
    <col min="10247" max="10496" width="11.42578125" style="764"/>
    <col min="10497" max="10497" width="10" style="764" customWidth="1"/>
    <col min="10498" max="10498" width="49.42578125" style="764" customWidth="1"/>
    <col min="10499" max="10499" width="17.42578125" style="764" customWidth="1"/>
    <col min="10500" max="10500" width="2.140625" style="764" customWidth="1"/>
    <col min="10501" max="10501" width="18" style="764" customWidth="1"/>
    <col min="10502" max="10502" width="10.7109375" style="764" customWidth="1"/>
    <col min="10503" max="10752" width="11.42578125" style="764"/>
    <col min="10753" max="10753" width="10" style="764" customWidth="1"/>
    <col min="10754" max="10754" width="49.42578125" style="764" customWidth="1"/>
    <col min="10755" max="10755" width="17.42578125" style="764" customWidth="1"/>
    <col min="10756" max="10756" width="2.140625" style="764" customWidth="1"/>
    <col min="10757" max="10757" width="18" style="764" customWidth="1"/>
    <col min="10758" max="10758" width="10.7109375" style="764" customWidth="1"/>
    <col min="10759" max="11008" width="11.42578125" style="764"/>
    <col min="11009" max="11009" width="10" style="764" customWidth="1"/>
    <col min="11010" max="11010" width="49.42578125" style="764" customWidth="1"/>
    <col min="11011" max="11011" width="17.42578125" style="764" customWidth="1"/>
    <col min="11012" max="11012" width="2.140625" style="764" customWidth="1"/>
    <col min="11013" max="11013" width="18" style="764" customWidth="1"/>
    <col min="11014" max="11014" width="10.7109375" style="764" customWidth="1"/>
    <col min="11015" max="11264" width="11.42578125" style="764"/>
    <col min="11265" max="11265" width="10" style="764" customWidth="1"/>
    <col min="11266" max="11266" width="49.42578125" style="764" customWidth="1"/>
    <col min="11267" max="11267" width="17.42578125" style="764" customWidth="1"/>
    <col min="11268" max="11268" width="2.140625" style="764" customWidth="1"/>
    <col min="11269" max="11269" width="18" style="764" customWidth="1"/>
    <col min="11270" max="11270" width="10.7109375" style="764" customWidth="1"/>
    <col min="11271" max="11520" width="11.42578125" style="764"/>
    <col min="11521" max="11521" width="10" style="764" customWidth="1"/>
    <col min="11522" max="11522" width="49.42578125" style="764" customWidth="1"/>
    <col min="11523" max="11523" width="17.42578125" style="764" customWidth="1"/>
    <col min="11524" max="11524" width="2.140625" style="764" customWidth="1"/>
    <col min="11525" max="11525" width="18" style="764" customWidth="1"/>
    <col min="11526" max="11526" width="10.7109375" style="764" customWidth="1"/>
    <col min="11527" max="11776" width="11.42578125" style="764"/>
    <col min="11777" max="11777" width="10" style="764" customWidth="1"/>
    <col min="11778" max="11778" width="49.42578125" style="764" customWidth="1"/>
    <col min="11779" max="11779" width="17.42578125" style="764" customWidth="1"/>
    <col min="11780" max="11780" width="2.140625" style="764" customWidth="1"/>
    <col min="11781" max="11781" width="18" style="764" customWidth="1"/>
    <col min="11782" max="11782" width="10.7109375" style="764" customWidth="1"/>
    <col min="11783" max="12032" width="11.42578125" style="764"/>
    <col min="12033" max="12033" width="10" style="764" customWidth="1"/>
    <col min="12034" max="12034" width="49.42578125" style="764" customWidth="1"/>
    <col min="12035" max="12035" width="17.42578125" style="764" customWidth="1"/>
    <col min="12036" max="12036" width="2.140625" style="764" customWidth="1"/>
    <col min="12037" max="12037" width="18" style="764" customWidth="1"/>
    <col min="12038" max="12038" width="10.7109375" style="764" customWidth="1"/>
    <col min="12039" max="12288" width="11.42578125" style="764"/>
    <col min="12289" max="12289" width="10" style="764" customWidth="1"/>
    <col min="12290" max="12290" width="49.42578125" style="764" customWidth="1"/>
    <col min="12291" max="12291" width="17.42578125" style="764" customWidth="1"/>
    <col min="12292" max="12292" width="2.140625" style="764" customWidth="1"/>
    <col min="12293" max="12293" width="18" style="764" customWidth="1"/>
    <col min="12294" max="12294" width="10.7109375" style="764" customWidth="1"/>
    <col min="12295" max="12544" width="11.42578125" style="764"/>
    <col min="12545" max="12545" width="10" style="764" customWidth="1"/>
    <col min="12546" max="12546" width="49.42578125" style="764" customWidth="1"/>
    <col min="12547" max="12547" width="17.42578125" style="764" customWidth="1"/>
    <col min="12548" max="12548" width="2.140625" style="764" customWidth="1"/>
    <col min="12549" max="12549" width="18" style="764" customWidth="1"/>
    <col min="12550" max="12550" width="10.7109375" style="764" customWidth="1"/>
    <col min="12551" max="12800" width="11.42578125" style="764"/>
    <col min="12801" max="12801" width="10" style="764" customWidth="1"/>
    <col min="12802" max="12802" width="49.42578125" style="764" customWidth="1"/>
    <col min="12803" max="12803" width="17.42578125" style="764" customWidth="1"/>
    <col min="12804" max="12804" width="2.140625" style="764" customWidth="1"/>
    <col min="12805" max="12805" width="18" style="764" customWidth="1"/>
    <col min="12806" max="12806" width="10.7109375" style="764" customWidth="1"/>
    <col min="12807" max="13056" width="11.42578125" style="764"/>
    <col min="13057" max="13057" width="10" style="764" customWidth="1"/>
    <col min="13058" max="13058" width="49.42578125" style="764" customWidth="1"/>
    <col min="13059" max="13059" width="17.42578125" style="764" customWidth="1"/>
    <col min="13060" max="13060" width="2.140625" style="764" customWidth="1"/>
    <col min="13061" max="13061" width="18" style="764" customWidth="1"/>
    <col min="13062" max="13062" width="10.7109375" style="764" customWidth="1"/>
    <col min="13063" max="13312" width="11.42578125" style="764"/>
    <col min="13313" max="13313" width="10" style="764" customWidth="1"/>
    <col min="13314" max="13314" width="49.42578125" style="764" customWidth="1"/>
    <col min="13315" max="13315" width="17.42578125" style="764" customWidth="1"/>
    <col min="13316" max="13316" width="2.140625" style="764" customWidth="1"/>
    <col min="13317" max="13317" width="18" style="764" customWidth="1"/>
    <col min="13318" max="13318" width="10.7109375" style="764" customWidth="1"/>
    <col min="13319" max="13568" width="11.42578125" style="764"/>
    <col min="13569" max="13569" width="10" style="764" customWidth="1"/>
    <col min="13570" max="13570" width="49.42578125" style="764" customWidth="1"/>
    <col min="13571" max="13571" width="17.42578125" style="764" customWidth="1"/>
    <col min="13572" max="13572" width="2.140625" style="764" customWidth="1"/>
    <col min="13573" max="13573" width="18" style="764" customWidth="1"/>
    <col min="13574" max="13574" width="10.7109375" style="764" customWidth="1"/>
    <col min="13575" max="13824" width="11.42578125" style="764"/>
    <col min="13825" max="13825" width="10" style="764" customWidth="1"/>
    <col min="13826" max="13826" width="49.42578125" style="764" customWidth="1"/>
    <col min="13827" max="13827" width="17.42578125" style="764" customWidth="1"/>
    <col min="13828" max="13828" width="2.140625" style="764" customWidth="1"/>
    <col min="13829" max="13829" width="18" style="764" customWidth="1"/>
    <col min="13830" max="13830" width="10.7109375" style="764" customWidth="1"/>
    <col min="13831" max="14080" width="11.42578125" style="764"/>
    <col min="14081" max="14081" width="10" style="764" customWidth="1"/>
    <col min="14082" max="14082" width="49.42578125" style="764" customWidth="1"/>
    <col min="14083" max="14083" width="17.42578125" style="764" customWidth="1"/>
    <col min="14084" max="14084" width="2.140625" style="764" customWidth="1"/>
    <col min="14085" max="14085" width="18" style="764" customWidth="1"/>
    <col min="14086" max="14086" width="10.7109375" style="764" customWidth="1"/>
    <col min="14087" max="14336" width="11.42578125" style="764"/>
    <col min="14337" max="14337" width="10" style="764" customWidth="1"/>
    <col min="14338" max="14338" width="49.42578125" style="764" customWidth="1"/>
    <col min="14339" max="14339" width="17.42578125" style="764" customWidth="1"/>
    <col min="14340" max="14340" width="2.140625" style="764" customWidth="1"/>
    <col min="14341" max="14341" width="18" style="764" customWidth="1"/>
    <col min="14342" max="14342" width="10.7109375" style="764" customWidth="1"/>
    <col min="14343" max="14592" width="11.42578125" style="764"/>
    <col min="14593" max="14593" width="10" style="764" customWidth="1"/>
    <col min="14594" max="14594" width="49.42578125" style="764" customWidth="1"/>
    <col min="14595" max="14595" width="17.42578125" style="764" customWidth="1"/>
    <col min="14596" max="14596" width="2.140625" style="764" customWidth="1"/>
    <col min="14597" max="14597" width="18" style="764" customWidth="1"/>
    <col min="14598" max="14598" width="10.7109375" style="764" customWidth="1"/>
    <col min="14599" max="14848" width="11.42578125" style="764"/>
    <col min="14849" max="14849" width="10" style="764" customWidth="1"/>
    <col min="14850" max="14850" width="49.42578125" style="764" customWidth="1"/>
    <col min="14851" max="14851" width="17.42578125" style="764" customWidth="1"/>
    <col min="14852" max="14852" width="2.140625" style="764" customWidth="1"/>
    <col min="14853" max="14853" width="18" style="764" customWidth="1"/>
    <col min="14854" max="14854" width="10.7109375" style="764" customWidth="1"/>
    <col min="14855" max="15104" width="11.42578125" style="764"/>
    <col min="15105" max="15105" width="10" style="764" customWidth="1"/>
    <col min="15106" max="15106" width="49.42578125" style="764" customWidth="1"/>
    <col min="15107" max="15107" width="17.42578125" style="764" customWidth="1"/>
    <col min="15108" max="15108" width="2.140625" style="764" customWidth="1"/>
    <col min="15109" max="15109" width="18" style="764" customWidth="1"/>
    <col min="15110" max="15110" width="10.7109375" style="764" customWidth="1"/>
    <col min="15111" max="15360" width="11.42578125" style="764"/>
    <col min="15361" max="15361" width="10" style="764" customWidth="1"/>
    <col min="15362" max="15362" width="49.42578125" style="764" customWidth="1"/>
    <col min="15363" max="15363" width="17.42578125" style="764" customWidth="1"/>
    <col min="15364" max="15364" width="2.140625" style="764" customWidth="1"/>
    <col min="15365" max="15365" width="18" style="764" customWidth="1"/>
    <col min="15366" max="15366" width="10.7109375" style="764" customWidth="1"/>
    <col min="15367" max="15616" width="11.42578125" style="764"/>
    <col min="15617" max="15617" width="10" style="764" customWidth="1"/>
    <col min="15618" max="15618" width="49.42578125" style="764" customWidth="1"/>
    <col min="15619" max="15619" width="17.42578125" style="764" customWidth="1"/>
    <col min="15620" max="15620" width="2.140625" style="764" customWidth="1"/>
    <col min="15621" max="15621" width="18" style="764" customWidth="1"/>
    <col min="15622" max="15622" width="10.7109375" style="764" customWidth="1"/>
    <col min="15623" max="15872" width="11.42578125" style="764"/>
    <col min="15873" max="15873" width="10" style="764" customWidth="1"/>
    <col min="15874" max="15874" width="49.42578125" style="764" customWidth="1"/>
    <col min="15875" max="15875" width="17.42578125" style="764" customWidth="1"/>
    <col min="15876" max="15876" width="2.140625" style="764" customWidth="1"/>
    <col min="15877" max="15877" width="18" style="764" customWidth="1"/>
    <col min="15878" max="15878" width="10.7109375" style="764" customWidth="1"/>
    <col min="15879" max="16128" width="11.42578125" style="764"/>
    <col min="16129" max="16129" width="10" style="764" customWidth="1"/>
    <col min="16130" max="16130" width="49.42578125" style="764" customWidth="1"/>
    <col min="16131" max="16131" width="17.42578125" style="764" customWidth="1"/>
    <col min="16132" max="16132" width="2.140625" style="764" customWidth="1"/>
    <col min="16133" max="16133" width="18" style="764" customWidth="1"/>
    <col min="16134" max="16134" width="10.7109375" style="764" customWidth="1"/>
    <col min="16135" max="16384" width="11.42578125" style="764"/>
  </cols>
  <sheetData>
    <row r="1" spans="1:6" x14ac:dyDescent="0.2">
      <c r="A1" s="1075" t="s">
        <v>340</v>
      </c>
      <c r="B1" s="1075"/>
      <c r="C1" s="1075"/>
      <c r="D1" s="1075"/>
      <c r="E1" s="1075"/>
      <c r="F1" s="1075"/>
    </row>
    <row r="2" spans="1:6" x14ac:dyDescent="0.2">
      <c r="A2" s="1075" t="s">
        <v>3579</v>
      </c>
      <c r="B2" s="1075"/>
      <c r="C2" s="1075"/>
      <c r="D2" s="1075"/>
      <c r="E2" s="1075"/>
      <c r="F2" s="1075"/>
    </row>
    <row r="3" spans="1:6" x14ac:dyDescent="0.2">
      <c r="A3" s="1075" t="s">
        <v>2680</v>
      </c>
      <c r="B3" s="1075"/>
      <c r="C3" s="1075"/>
      <c r="D3" s="1075"/>
      <c r="E3" s="1075"/>
      <c r="F3" s="1075"/>
    </row>
    <row r="4" spans="1:6" x14ac:dyDescent="0.2">
      <c r="A4" s="1019"/>
      <c r="B4" s="1019"/>
      <c r="C4" s="1019"/>
      <c r="D4" s="1019"/>
      <c r="E4" s="765"/>
      <c r="F4" s="1019"/>
    </row>
    <row r="5" spans="1:6" ht="30" x14ac:dyDescent="0.25">
      <c r="A5" s="766" t="s">
        <v>974</v>
      </c>
      <c r="B5" s="273"/>
      <c r="C5" s="273"/>
      <c r="D5" s="274"/>
      <c r="E5" s="767" t="s">
        <v>3580</v>
      </c>
      <c r="F5" s="1037" t="s">
        <v>4147</v>
      </c>
    </row>
    <row r="6" spans="1:6" x14ac:dyDescent="0.2">
      <c r="A6" s="766"/>
      <c r="B6" s="273"/>
      <c r="C6" s="273"/>
      <c r="D6" s="274"/>
      <c r="E6" s="767"/>
      <c r="F6" s="1038"/>
    </row>
    <row r="7" spans="1:6" ht="13.5" customHeight="1" x14ac:dyDescent="0.2">
      <c r="A7" s="274">
        <v>1</v>
      </c>
      <c r="B7" s="273" t="s">
        <v>975</v>
      </c>
      <c r="C7" s="273"/>
      <c r="D7" s="274"/>
      <c r="E7" s="768">
        <v>195413307347.89001</v>
      </c>
      <c r="F7" s="1039">
        <f>E7/E17</f>
        <v>0.84256950667559394</v>
      </c>
    </row>
    <row r="8" spans="1:6" ht="13.5" customHeight="1" x14ac:dyDescent="0.2">
      <c r="A8" s="274">
        <v>2</v>
      </c>
      <c r="B8" s="273" t="s">
        <v>976</v>
      </c>
      <c r="C8" s="273"/>
      <c r="D8" s="274"/>
      <c r="E8" s="768">
        <v>4741752124.8599997</v>
      </c>
      <c r="F8" s="1039">
        <f>E8/E17</f>
        <v>2.0445157000022387E-2</v>
      </c>
    </row>
    <row r="9" spans="1:6" ht="13.5" customHeight="1" x14ac:dyDescent="0.2">
      <c r="A9" s="274">
        <v>4</v>
      </c>
      <c r="B9" s="273" t="s">
        <v>478</v>
      </c>
      <c r="C9" s="273"/>
      <c r="D9" s="274"/>
      <c r="E9" s="768">
        <v>83311970.530000001</v>
      </c>
      <c r="F9" s="1039">
        <f>E9/E17</f>
        <v>3.5921875977803857E-4</v>
      </c>
    </row>
    <row r="10" spans="1:6" ht="13.5" customHeight="1" x14ac:dyDescent="0.2">
      <c r="A10" s="274">
        <v>5</v>
      </c>
      <c r="B10" s="273" t="s">
        <v>1391</v>
      </c>
      <c r="C10" s="273"/>
      <c r="D10" s="274"/>
      <c r="E10" s="768">
        <v>12134028893.110001</v>
      </c>
      <c r="F10" s="1039">
        <f>E10/E17</f>
        <v>5.231866180051882E-2</v>
      </c>
    </row>
    <row r="11" spans="1:6" ht="13.5" customHeight="1" x14ac:dyDescent="0.2">
      <c r="A11" s="274">
        <v>6</v>
      </c>
      <c r="B11" s="273" t="s">
        <v>1219</v>
      </c>
      <c r="C11" s="273"/>
      <c r="D11" s="287"/>
      <c r="E11" s="769">
        <v>677770041.25999999</v>
      </c>
      <c r="F11" s="1039">
        <f>E11/E17</f>
        <v>2.9223617216982806E-3</v>
      </c>
    </row>
    <row r="12" spans="1:6" ht="13.5" customHeight="1" x14ac:dyDescent="0.2">
      <c r="A12" s="274">
        <v>7</v>
      </c>
      <c r="B12" s="273" t="s">
        <v>3581</v>
      </c>
      <c r="C12" s="273"/>
      <c r="D12" s="287"/>
      <c r="E12" s="769">
        <v>1548461080.73</v>
      </c>
      <c r="F12" s="1039">
        <f>E12/E17</f>
        <v>6.6765467848836375E-3</v>
      </c>
    </row>
    <row r="13" spans="1:6" ht="13.5" customHeight="1" x14ac:dyDescent="0.2">
      <c r="A13" s="274">
        <v>8</v>
      </c>
      <c r="B13" s="273" t="s">
        <v>1368</v>
      </c>
      <c r="C13" s="273"/>
      <c r="D13" s="287"/>
      <c r="E13" s="769">
        <v>8351860900.8199997</v>
      </c>
      <c r="F13" s="1039">
        <f>E13/E17</f>
        <v>3.60109729195629E-2</v>
      </c>
    </row>
    <row r="14" spans="1:6" ht="13.5" customHeight="1" x14ac:dyDescent="0.2">
      <c r="A14" s="274">
        <v>9</v>
      </c>
      <c r="B14" s="273" t="s">
        <v>1369</v>
      </c>
      <c r="C14" s="273"/>
      <c r="D14" s="287"/>
      <c r="E14" s="769">
        <v>6512110926.2299995</v>
      </c>
      <c r="F14" s="1039">
        <f>E14/E17</f>
        <v>2.8078466942694634E-2</v>
      </c>
    </row>
    <row r="15" spans="1:6" ht="13.5" customHeight="1" x14ac:dyDescent="0.2">
      <c r="A15" s="274">
        <v>10</v>
      </c>
      <c r="B15" s="273" t="s">
        <v>1777</v>
      </c>
      <c r="C15" s="273"/>
      <c r="D15" s="287"/>
      <c r="E15" s="770">
        <v>2462841202.71</v>
      </c>
      <c r="F15" s="1040">
        <f>E15/E17</f>
        <v>1.0619107395247192E-2</v>
      </c>
    </row>
    <row r="16" spans="1:6" ht="18" customHeight="1" x14ac:dyDescent="0.2">
      <c r="A16" s="274"/>
      <c r="B16" s="273"/>
      <c r="C16" s="273"/>
      <c r="D16" s="287"/>
      <c r="E16" s="769"/>
      <c r="F16" s="721"/>
    </row>
    <row r="17" spans="1:6" ht="13.5" thickBot="1" x14ac:dyDescent="0.25">
      <c r="A17" s="273"/>
      <c r="B17" s="771" t="s">
        <v>341</v>
      </c>
      <c r="C17" s="273"/>
      <c r="D17" s="285"/>
      <c r="E17" s="772">
        <f>SUM(E7:E15)</f>
        <v>231925444488.14005</v>
      </c>
      <c r="F17" s="1041">
        <f>SUM(F7:F16)</f>
        <v>0.99999999999999978</v>
      </c>
    </row>
    <row r="18" spans="1:6" ht="13.5" thickTop="1" x14ac:dyDescent="0.2">
      <c r="A18" s="273"/>
      <c r="B18" s="273"/>
      <c r="C18" s="273"/>
      <c r="D18" s="274"/>
      <c r="E18" s="773"/>
      <c r="F18" s="1042"/>
    </row>
    <row r="19" spans="1:6" x14ac:dyDescent="0.2">
      <c r="A19" s="273"/>
      <c r="B19" s="273"/>
      <c r="C19" s="273"/>
      <c r="D19" s="274"/>
      <c r="E19" s="773"/>
      <c r="F19" s="1042"/>
    </row>
    <row r="20" spans="1:6" x14ac:dyDescent="0.2">
      <c r="A20" s="273"/>
      <c r="B20" s="273"/>
      <c r="C20" s="273"/>
      <c r="D20" s="274"/>
      <c r="E20" s="773"/>
      <c r="F20" s="1042"/>
    </row>
    <row r="21" spans="1:6" x14ac:dyDescent="0.2">
      <c r="A21" s="273"/>
      <c r="B21" s="273"/>
      <c r="C21" s="273"/>
      <c r="D21" s="274"/>
      <c r="E21" s="773"/>
      <c r="F21" s="1042"/>
    </row>
    <row r="22" spans="1:6" x14ac:dyDescent="0.2">
      <c r="A22" s="1075" t="s">
        <v>3379</v>
      </c>
      <c r="B22" s="1075"/>
      <c r="C22" s="1075"/>
      <c r="D22" s="1075"/>
      <c r="E22" s="1075"/>
      <c r="F22" s="1075"/>
    </row>
    <row r="23" spans="1:6" x14ac:dyDescent="0.2">
      <c r="A23" s="1075" t="s">
        <v>3579</v>
      </c>
      <c r="B23" s="1075"/>
      <c r="C23" s="1075"/>
      <c r="D23" s="1075"/>
      <c r="E23" s="1075"/>
      <c r="F23" s="1075"/>
    </row>
    <row r="24" spans="1:6" x14ac:dyDescent="0.2">
      <c r="A24" s="1075" t="s">
        <v>2680</v>
      </c>
      <c r="B24" s="1075"/>
      <c r="C24" s="1075"/>
      <c r="D24" s="1075"/>
      <c r="E24" s="1075"/>
      <c r="F24" s="1075"/>
    </row>
    <row r="25" spans="1:6" x14ac:dyDescent="0.2">
      <c r="A25" s="273"/>
      <c r="B25" s="273"/>
      <c r="C25" s="273"/>
      <c r="D25" s="274"/>
      <c r="E25" s="773"/>
      <c r="F25" s="1043"/>
    </row>
    <row r="26" spans="1:6" ht="13.5" customHeight="1" x14ac:dyDescent="0.25">
      <c r="A26" s="766" t="s">
        <v>1220</v>
      </c>
      <c r="B26" s="273"/>
      <c r="C26" s="273"/>
      <c r="D26" s="274"/>
      <c r="E26" s="767" t="s">
        <v>3580</v>
      </c>
      <c r="F26" s="1037" t="s">
        <v>4147</v>
      </c>
    </row>
    <row r="27" spans="1:6" ht="13.5" customHeight="1" x14ac:dyDescent="0.2">
      <c r="A27" s="766"/>
      <c r="B27" s="273"/>
      <c r="C27" s="273"/>
      <c r="D27" s="274"/>
      <c r="E27" s="767"/>
      <c r="F27" s="1038"/>
    </row>
    <row r="28" spans="1:6" ht="13.5" customHeight="1" x14ac:dyDescent="0.2">
      <c r="A28" s="774" t="s">
        <v>124</v>
      </c>
      <c r="B28" s="775" t="s">
        <v>751</v>
      </c>
      <c r="C28" s="273"/>
      <c r="D28" s="274"/>
      <c r="E28" s="768">
        <v>202232564.13</v>
      </c>
      <c r="F28" s="1039">
        <f>E28/E46</f>
        <v>8.7197230375618215E-4</v>
      </c>
    </row>
    <row r="29" spans="1:6" ht="13.5" customHeight="1" x14ac:dyDescent="0.2">
      <c r="A29" s="774" t="s">
        <v>191</v>
      </c>
      <c r="B29" s="775" t="s">
        <v>1305</v>
      </c>
      <c r="C29" s="273"/>
      <c r="D29" s="274"/>
      <c r="E29" s="768">
        <v>85964119.409999996</v>
      </c>
      <c r="F29" s="1039">
        <f>E29/E46</f>
        <v>3.7065411084895409E-4</v>
      </c>
    </row>
    <row r="30" spans="1:6" ht="13.5" customHeight="1" x14ac:dyDescent="0.2">
      <c r="A30" s="774" t="s">
        <v>192</v>
      </c>
      <c r="B30" s="775" t="s">
        <v>87</v>
      </c>
      <c r="C30" s="273"/>
      <c r="D30" s="274"/>
      <c r="E30" s="768"/>
      <c r="F30" s="1039"/>
    </row>
    <row r="31" spans="1:6" ht="13.5" customHeight="1" x14ac:dyDescent="0.2">
      <c r="A31" s="774" t="s">
        <v>193</v>
      </c>
      <c r="B31" s="775" t="s">
        <v>3582</v>
      </c>
      <c r="C31" s="769">
        <v>395419055.54000002</v>
      </c>
      <c r="D31" s="274"/>
      <c r="E31" s="768"/>
      <c r="F31" s="1039"/>
    </row>
    <row r="32" spans="1:6" ht="13.5" customHeight="1" x14ac:dyDescent="0.2">
      <c r="A32" s="774" t="s">
        <v>194</v>
      </c>
      <c r="B32" s="775" t="s">
        <v>3583</v>
      </c>
      <c r="C32" s="769">
        <v>1630138860.54</v>
      </c>
      <c r="D32" s="274"/>
      <c r="E32" s="768"/>
      <c r="F32" s="1039"/>
    </row>
    <row r="33" spans="1:6" ht="13.5" customHeight="1" x14ac:dyDescent="0.2">
      <c r="A33" s="774" t="s">
        <v>196</v>
      </c>
      <c r="B33" s="775" t="s">
        <v>3584</v>
      </c>
      <c r="C33" s="770">
        <v>3956685454.0799999</v>
      </c>
      <c r="D33" s="287"/>
      <c r="E33" s="769">
        <f>SUM(C31:C33)</f>
        <v>5982243370.1599998</v>
      </c>
      <c r="F33" s="1039">
        <f>E33/E46</f>
        <v>2.5793820869300585E-2</v>
      </c>
    </row>
    <row r="34" spans="1:6" ht="13.5" customHeight="1" x14ac:dyDescent="0.2">
      <c r="A34" s="774" t="s">
        <v>197</v>
      </c>
      <c r="B34" s="775" t="s">
        <v>88</v>
      </c>
      <c r="C34" s="273"/>
      <c r="D34" s="274"/>
      <c r="E34" s="768">
        <v>3041828810.7600002</v>
      </c>
      <c r="F34" s="1039">
        <f>E34/E46</f>
        <v>1.3115545892229821E-2</v>
      </c>
    </row>
    <row r="35" spans="1:6" ht="13.5" customHeight="1" x14ac:dyDescent="0.2">
      <c r="A35" s="774" t="s">
        <v>190</v>
      </c>
      <c r="B35" s="776" t="s">
        <v>267</v>
      </c>
      <c r="C35" s="273"/>
      <c r="D35" s="274"/>
      <c r="E35" s="768">
        <v>138173872</v>
      </c>
      <c r="F35" s="1039">
        <f>E35/E46</f>
        <v>5.9576849062400225E-4</v>
      </c>
    </row>
    <row r="36" spans="1:6" ht="13.5" customHeight="1" x14ac:dyDescent="0.2">
      <c r="A36" s="774" t="s">
        <v>198</v>
      </c>
      <c r="B36" s="776" t="s">
        <v>385</v>
      </c>
      <c r="C36" s="273"/>
      <c r="D36" s="274"/>
      <c r="E36" s="768">
        <v>359151329.70999998</v>
      </c>
      <c r="F36" s="1039">
        <f>E36/E46</f>
        <v>1.5485637227198067E-3</v>
      </c>
    </row>
    <row r="37" spans="1:6" ht="13.5" customHeight="1" x14ac:dyDescent="0.2">
      <c r="A37" s="774" t="s">
        <v>199</v>
      </c>
      <c r="B37" s="776" t="s">
        <v>3585</v>
      </c>
      <c r="C37" s="273"/>
      <c r="D37" s="274"/>
      <c r="E37" s="768"/>
      <c r="F37" s="1039"/>
    </row>
    <row r="38" spans="1:6" ht="13.5" customHeight="1" x14ac:dyDescent="0.2">
      <c r="A38" s="774" t="s">
        <v>200</v>
      </c>
      <c r="B38" s="776" t="s">
        <v>3586</v>
      </c>
      <c r="C38" s="768">
        <v>146720437032.32999</v>
      </c>
      <c r="D38" s="274"/>
      <c r="E38" s="768"/>
      <c r="F38" s="1039"/>
    </row>
    <row r="39" spans="1:6" ht="13.5" customHeight="1" x14ac:dyDescent="0.2">
      <c r="A39" s="774" t="s">
        <v>3587</v>
      </c>
      <c r="B39" s="776" t="s">
        <v>3588</v>
      </c>
      <c r="C39" s="768">
        <v>1925</v>
      </c>
      <c r="D39" s="274"/>
      <c r="E39" s="768"/>
      <c r="F39" s="1039"/>
    </row>
    <row r="40" spans="1:6" ht="13.5" customHeight="1" x14ac:dyDescent="0.2">
      <c r="A40" s="774" t="s">
        <v>3589</v>
      </c>
      <c r="B40" s="776" t="s">
        <v>3590</v>
      </c>
      <c r="C40" s="770">
        <v>108133641.25</v>
      </c>
      <c r="D40" s="274"/>
      <c r="E40" s="768">
        <f>SUM(C38:C40)</f>
        <v>146828572598.57999</v>
      </c>
      <c r="F40" s="1039">
        <f>E40/E46</f>
        <v>0.63308522668839107</v>
      </c>
    </row>
    <row r="41" spans="1:6" ht="13.5" customHeight="1" x14ac:dyDescent="0.2">
      <c r="A41" s="774" t="s">
        <v>201</v>
      </c>
      <c r="B41" s="776" t="s">
        <v>3434</v>
      </c>
      <c r="C41" s="768"/>
      <c r="D41" s="274"/>
      <c r="E41" s="768">
        <v>1222786997.47</v>
      </c>
      <c r="F41" s="1039">
        <f>E41/E46</f>
        <v>5.272327924901443E-3</v>
      </c>
    </row>
    <row r="42" spans="1:6" ht="18" customHeight="1" x14ac:dyDescent="0.2">
      <c r="A42" s="774" t="s">
        <v>202</v>
      </c>
      <c r="B42" s="776" t="s">
        <v>3435</v>
      </c>
      <c r="C42" s="273"/>
      <c r="D42" s="274"/>
      <c r="E42" s="768">
        <v>24158622.98</v>
      </c>
      <c r="F42" s="1039">
        <f>E42/E46</f>
        <v>1.0416547021530189E-4</v>
      </c>
    </row>
    <row r="43" spans="1:6" x14ac:dyDescent="0.2">
      <c r="A43" s="774">
        <v>2</v>
      </c>
      <c r="B43" s="775" t="s">
        <v>322</v>
      </c>
      <c r="C43" s="273"/>
      <c r="D43" s="274"/>
      <c r="E43" s="768">
        <v>78741171.760000005</v>
      </c>
      <c r="F43" s="1039">
        <f>E43/E46</f>
        <v>3.3951070756286334E-4</v>
      </c>
    </row>
    <row r="44" spans="1:6" x14ac:dyDescent="0.2">
      <c r="A44" s="774">
        <v>3</v>
      </c>
      <c r="B44" s="775" t="s">
        <v>188</v>
      </c>
      <c r="C44" s="273"/>
      <c r="D44" s="287"/>
      <c r="E44" s="768">
        <v>73961591031.179993</v>
      </c>
      <c r="F44" s="1040">
        <f>E44/E46</f>
        <v>0.31890244381944977</v>
      </c>
    </row>
    <row r="45" spans="1:6" x14ac:dyDescent="0.2">
      <c r="A45" s="273"/>
      <c r="B45" s="273"/>
      <c r="C45" s="273"/>
      <c r="D45" s="287"/>
      <c r="E45" s="777"/>
      <c r="F45" s="721"/>
    </row>
    <row r="46" spans="1:6" ht="13.5" thickBot="1" x14ac:dyDescent="0.25">
      <c r="A46" s="273"/>
      <c r="B46" s="771" t="s">
        <v>341</v>
      </c>
      <c r="C46" s="273"/>
      <c r="D46" s="285"/>
      <c r="E46" s="772">
        <f>SUM(E28:E44)</f>
        <v>231925444488.14001</v>
      </c>
      <c r="F46" s="1041">
        <f>SUM(F28:F44)</f>
        <v>0.99999999999999978</v>
      </c>
    </row>
    <row r="47" spans="1:6" ht="13.5" thickTop="1" x14ac:dyDescent="0.2">
      <c r="A47" s="123"/>
      <c r="B47" s="778"/>
      <c r="C47" s="178"/>
      <c r="D47" s="1"/>
      <c r="E47" s="178"/>
      <c r="F47" s="721"/>
    </row>
    <row r="48" spans="1:6" x14ac:dyDescent="0.2">
      <c r="B48" s="779"/>
    </row>
    <row r="49" spans="1:3" x14ac:dyDescent="0.2">
      <c r="A49" s="169" t="s">
        <v>121</v>
      </c>
      <c r="B49" s="779"/>
    </row>
    <row r="50" spans="1:3" x14ac:dyDescent="0.2">
      <c r="A50" s="780" t="s">
        <v>4148</v>
      </c>
    </row>
    <row r="51" spans="1:3" x14ac:dyDescent="0.2">
      <c r="A51" s="780"/>
      <c r="B51" s="169"/>
      <c r="C51" s="169"/>
    </row>
  </sheetData>
  <mergeCells count="6">
    <mergeCell ref="A23:F23"/>
    <mergeCell ref="A24:F24"/>
    <mergeCell ref="A22:F22"/>
    <mergeCell ref="A1:F1"/>
    <mergeCell ref="A2:F2"/>
    <mergeCell ref="A3:F3"/>
  </mergeCells>
  <phoneticPr fontId="0" type="noConversion"/>
  <printOptions horizontalCentered="1"/>
  <pageMargins left="0.87" right="0.79" top="1.42" bottom="0.87" header="0.71" footer="1.26"/>
  <pageSetup paperSize="9" scale="79" firstPageNumber="56" orientation="portrait" r:id="rId1"/>
  <headerFooter alignWithMargins="0">
    <oddHeader xml:space="preserve">&amp;C&amp;"Arial,Negrita"UNIVERSIDAD DE COSTA RICA
VICERRECTORÍA DE ADMINISTRACIÓN
OFICINA DE ADMINISTRACIÓN FINANCIERA
&amp;R&amp;"Arial,Negrita"
</oddHead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42"/>
  <sheetViews>
    <sheetView workbookViewId="0">
      <selection sqref="A1:E1"/>
    </sheetView>
  </sheetViews>
  <sheetFormatPr baseColWidth="10" defaultRowHeight="15" x14ac:dyDescent="0.2"/>
  <cols>
    <col min="1" max="1" width="10.85546875" style="797" bestFit="1" customWidth="1"/>
    <col min="2" max="2" width="36.140625" style="788" bestFit="1" customWidth="1"/>
    <col min="3" max="3" width="6.140625" style="788" bestFit="1" customWidth="1"/>
    <col min="4" max="4" width="21" style="798" bestFit="1" customWidth="1"/>
    <col min="5" max="5" width="13.28515625" style="1051" customWidth="1"/>
    <col min="6" max="256" width="11.42578125" style="788"/>
    <col min="257" max="257" width="10.85546875" style="788" bestFit="1" customWidth="1"/>
    <col min="258" max="258" width="36.140625" style="788" bestFit="1" customWidth="1"/>
    <col min="259" max="259" width="6.140625" style="788" bestFit="1" customWidth="1"/>
    <col min="260" max="260" width="21" style="788" bestFit="1" customWidth="1"/>
    <col min="261" max="512" width="11.42578125" style="788"/>
    <col min="513" max="513" width="10.85546875" style="788" bestFit="1" customWidth="1"/>
    <col min="514" max="514" width="36.140625" style="788" bestFit="1" customWidth="1"/>
    <col min="515" max="515" width="6.140625" style="788" bestFit="1" customWidth="1"/>
    <col min="516" max="516" width="21" style="788" bestFit="1" customWidth="1"/>
    <col min="517" max="768" width="11.42578125" style="788"/>
    <col min="769" max="769" width="10.85546875" style="788" bestFit="1" customWidth="1"/>
    <col min="770" max="770" width="36.140625" style="788" bestFit="1" customWidth="1"/>
    <col min="771" max="771" width="6.140625" style="788" bestFit="1" customWidth="1"/>
    <col min="772" max="772" width="21" style="788" bestFit="1" customWidth="1"/>
    <col min="773" max="1024" width="11.42578125" style="788"/>
    <col min="1025" max="1025" width="10.85546875" style="788" bestFit="1" customWidth="1"/>
    <col min="1026" max="1026" width="36.140625" style="788" bestFit="1" customWidth="1"/>
    <col min="1027" max="1027" width="6.140625" style="788" bestFit="1" customWidth="1"/>
    <col min="1028" max="1028" width="21" style="788" bestFit="1" customWidth="1"/>
    <col min="1029" max="1280" width="11.42578125" style="788"/>
    <col min="1281" max="1281" width="10.85546875" style="788" bestFit="1" customWidth="1"/>
    <col min="1282" max="1282" width="36.140625" style="788" bestFit="1" customWidth="1"/>
    <col min="1283" max="1283" width="6.140625" style="788" bestFit="1" customWidth="1"/>
    <col min="1284" max="1284" width="21" style="788" bestFit="1" customWidth="1"/>
    <col min="1285" max="1536" width="11.42578125" style="788"/>
    <col min="1537" max="1537" width="10.85546875" style="788" bestFit="1" customWidth="1"/>
    <col min="1538" max="1538" width="36.140625" style="788" bestFit="1" customWidth="1"/>
    <col min="1539" max="1539" width="6.140625" style="788" bestFit="1" customWidth="1"/>
    <col min="1540" max="1540" width="21" style="788" bestFit="1" customWidth="1"/>
    <col min="1541" max="1792" width="11.42578125" style="788"/>
    <col min="1793" max="1793" width="10.85546875" style="788" bestFit="1" customWidth="1"/>
    <col min="1794" max="1794" width="36.140625" style="788" bestFit="1" customWidth="1"/>
    <col min="1795" max="1795" width="6.140625" style="788" bestFit="1" customWidth="1"/>
    <col min="1796" max="1796" width="21" style="788" bestFit="1" customWidth="1"/>
    <col min="1797" max="2048" width="11.42578125" style="788"/>
    <col min="2049" max="2049" width="10.85546875" style="788" bestFit="1" customWidth="1"/>
    <col min="2050" max="2050" width="36.140625" style="788" bestFit="1" customWidth="1"/>
    <col min="2051" max="2051" width="6.140625" style="788" bestFit="1" customWidth="1"/>
    <col min="2052" max="2052" width="21" style="788" bestFit="1" customWidth="1"/>
    <col min="2053" max="2304" width="11.42578125" style="788"/>
    <col min="2305" max="2305" width="10.85546875" style="788" bestFit="1" customWidth="1"/>
    <col min="2306" max="2306" width="36.140625" style="788" bestFit="1" customWidth="1"/>
    <col min="2307" max="2307" width="6.140625" style="788" bestFit="1" customWidth="1"/>
    <col min="2308" max="2308" width="21" style="788" bestFit="1" customWidth="1"/>
    <col min="2309" max="2560" width="11.42578125" style="788"/>
    <col min="2561" max="2561" width="10.85546875" style="788" bestFit="1" customWidth="1"/>
    <col min="2562" max="2562" width="36.140625" style="788" bestFit="1" customWidth="1"/>
    <col min="2563" max="2563" width="6.140625" style="788" bestFit="1" customWidth="1"/>
    <col min="2564" max="2564" width="21" style="788" bestFit="1" customWidth="1"/>
    <col min="2565" max="2816" width="11.42578125" style="788"/>
    <col min="2817" max="2817" width="10.85546875" style="788" bestFit="1" customWidth="1"/>
    <col min="2818" max="2818" width="36.140625" style="788" bestFit="1" customWidth="1"/>
    <col min="2819" max="2819" width="6.140625" style="788" bestFit="1" customWidth="1"/>
    <col min="2820" max="2820" width="21" style="788" bestFit="1" customWidth="1"/>
    <col min="2821" max="3072" width="11.42578125" style="788"/>
    <col min="3073" max="3073" width="10.85546875" style="788" bestFit="1" customWidth="1"/>
    <col min="3074" max="3074" width="36.140625" style="788" bestFit="1" customWidth="1"/>
    <col min="3075" max="3075" width="6.140625" style="788" bestFit="1" customWidth="1"/>
    <col min="3076" max="3076" width="21" style="788" bestFit="1" customWidth="1"/>
    <col min="3077" max="3328" width="11.42578125" style="788"/>
    <col min="3329" max="3329" width="10.85546875" style="788" bestFit="1" customWidth="1"/>
    <col min="3330" max="3330" width="36.140625" style="788" bestFit="1" customWidth="1"/>
    <col min="3331" max="3331" width="6.140625" style="788" bestFit="1" customWidth="1"/>
    <col min="3332" max="3332" width="21" style="788" bestFit="1" customWidth="1"/>
    <col min="3333" max="3584" width="11.42578125" style="788"/>
    <col min="3585" max="3585" width="10.85546875" style="788" bestFit="1" customWidth="1"/>
    <col min="3586" max="3586" width="36.140625" style="788" bestFit="1" customWidth="1"/>
    <col min="3587" max="3587" width="6.140625" style="788" bestFit="1" customWidth="1"/>
    <col min="3588" max="3588" width="21" style="788" bestFit="1" customWidth="1"/>
    <col min="3589" max="3840" width="11.42578125" style="788"/>
    <col min="3841" max="3841" width="10.85546875" style="788" bestFit="1" customWidth="1"/>
    <col min="3842" max="3842" width="36.140625" style="788" bestFit="1" customWidth="1"/>
    <col min="3843" max="3843" width="6.140625" style="788" bestFit="1" customWidth="1"/>
    <col min="3844" max="3844" width="21" style="788" bestFit="1" customWidth="1"/>
    <col min="3845" max="4096" width="11.42578125" style="788"/>
    <col min="4097" max="4097" width="10.85546875" style="788" bestFit="1" customWidth="1"/>
    <col min="4098" max="4098" width="36.140625" style="788" bestFit="1" customWidth="1"/>
    <col min="4099" max="4099" width="6.140625" style="788" bestFit="1" customWidth="1"/>
    <col min="4100" max="4100" width="21" style="788" bestFit="1" customWidth="1"/>
    <col min="4101" max="4352" width="11.42578125" style="788"/>
    <col min="4353" max="4353" width="10.85546875" style="788" bestFit="1" customWidth="1"/>
    <col min="4354" max="4354" width="36.140625" style="788" bestFit="1" customWidth="1"/>
    <col min="4355" max="4355" width="6.140625" style="788" bestFit="1" customWidth="1"/>
    <col min="4356" max="4356" width="21" style="788" bestFit="1" customWidth="1"/>
    <col min="4357" max="4608" width="11.42578125" style="788"/>
    <col min="4609" max="4609" width="10.85546875" style="788" bestFit="1" customWidth="1"/>
    <col min="4610" max="4610" width="36.140625" style="788" bestFit="1" customWidth="1"/>
    <col min="4611" max="4611" width="6.140625" style="788" bestFit="1" customWidth="1"/>
    <col min="4612" max="4612" width="21" style="788" bestFit="1" customWidth="1"/>
    <col min="4613" max="4864" width="11.42578125" style="788"/>
    <col min="4865" max="4865" width="10.85546875" style="788" bestFit="1" customWidth="1"/>
    <col min="4866" max="4866" width="36.140625" style="788" bestFit="1" customWidth="1"/>
    <col min="4867" max="4867" width="6.140625" style="788" bestFit="1" customWidth="1"/>
    <col min="4868" max="4868" width="21" style="788" bestFit="1" customWidth="1"/>
    <col min="4869" max="5120" width="11.42578125" style="788"/>
    <col min="5121" max="5121" width="10.85546875" style="788" bestFit="1" customWidth="1"/>
    <col min="5122" max="5122" width="36.140625" style="788" bestFit="1" customWidth="1"/>
    <col min="5123" max="5123" width="6.140625" style="788" bestFit="1" customWidth="1"/>
    <col min="5124" max="5124" width="21" style="788" bestFit="1" customWidth="1"/>
    <col min="5125" max="5376" width="11.42578125" style="788"/>
    <col min="5377" max="5377" width="10.85546875" style="788" bestFit="1" customWidth="1"/>
    <col min="5378" max="5378" width="36.140625" style="788" bestFit="1" customWidth="1"/>
    <col min="5379" max="5379" width="6.140625" style="788" bestFit="1" customWidth="1"/>
    <col min="5380" max="5380" width="21" style="788" bestFit="1" customWidth="1"/>
    <col min="5381" max="5632" width="11.42578125" style="788"/>
    <col min="5633" max="5633" width="10.85546875" style="788" bestFit="1" customWidth="1"/>
    <col min="5634" max="5634" width="36.140625" style="788" bestFit="1" customWidth="1"/>
    <col min="5635" max="5635" width="6.140625" style="788" bestFit="1" customWidth="1"/>
    <col min="5636" max="5636" width="21" style="788" bestFit="1" customWidth="1"/>
    <col min="5637" max="5888" width="11.42578125" style="788"/>
    <col min="5889" max="5889" width="10.85546875" style="788" bestFit="1" customWidth="1"/>
    <col min="5890" max="5890" width="36.140625" style="788" bestFit="1" customWidth="1"/>
    <col min="5891" max="5891" width="6.140625" style="788" bestFit="1" customWidth="1"/>
    <col min="5892" max="5892" width="21" style="788" bestFit="1" customWidth="1"/>
    <col min="5893" max="6144" width="11.42578125" style="788"/>
    <col min="6145" max="6145" width="10.85546875" style="788" bestFit="1" customWidth="1"/>
    <col min="6146" max="6146" width="36.140625" style="788" bestFit="1" customWidth="1"/>
    <col min="6147" max="6147" width="6.140625" style="788" bestFit="1" customWidth="1"/>
    <col min="6148" max="6148" width="21" style="788" bestFit="1" customWidth="1"/>
    <col min="6149" max="6400" width="11.42578125" style="788"/>
    <col min="6401" max="6401" width="10.85546875" style="788" bestFit="1" customWidth="1"/>
    <col min="6402" max="6402" width="36.140625" style="788" bestFit="1" customWidth="1"/>
    <col min="6403" max="6403" width="6.140625" style="788" bestFit="1" customWidth="1"/>
    <col min="6404" max="6404" width="21" style="788" bestFit="1" customWidth="1"/>
    <col min="6405" max="6656" width="11.42578125" style="788"/>
    <col min="6657" max="6657" width="10.85546875" style="788" bestFit="1" customWidth="1"/>
    <col min="6658" max="6658" width="36.140625" style="788" bestFit="1" customWidth="1"/>
    <col min="6659" max="6659" width="6.140625" style="788" bestFit="1" customWidth="1"/>
    <col min="6660" max="6660" width="21" style="788" bestFit="1" customWidth="1"/>
    <col min="6661" max="6912" width="11.42578125" style="788"/>
    <col min="6913" max="6913" width="10.85546875" style="788" bestFit="1" customWidth="1"/>
    <col min="6914" max="6914" width="36.140625" style="788" bestFit="1" customWidth="1"/>
    <col min="6915" max="6915" width="6.140625" style="788" bestFit="1" customWidth="1"/>
    <col min="6916" max="6916" width="21" style="788" bestFit="1" customWidth="1"/>
    <col min="6917" max="7168" width="11.42578125" style="788"/>
    <col min="7169" max="7169" width="10.85546875" style="788" bestFit="1" customWidth="1"/>
    <col min="7170" max="7170" width="36.140625" style="788" bestFit="1" customWidth="1"/>
    <col min="7171" max="7171" width="6.140625" style="788" bestFit="1" customWidth="1"/>
    <col min="7172" max="7172" width="21" style="788" bestFit="1" customWidth="1"/>
    <col min="7173" max="7424" width="11.42578125" style="788"/>
    <col min="7425" max="7425" width="10.85546875" style="788" bestFit="1" customWidth="1"/>
    <col min="7426" max="7426" width="36.140625" style="788" bestFit="1" customWidth="1"/>
    <col min="7427" max="7427" width="6.140625" style="788" bestFit="1" customWidth="1"/>
    <col min="7428" max="7428" width="21" style="788" bestFit="1" customWidth="1"/>
    <col min="7429" max="7680" width="11.42578125" style="788"/>
    <col min="7681" max="7681" width="10.85546875" style="788" bestFit="1" customWidth="1"/>
    <col min="7682" max="7682" width="36.140625" style="788" bestFit="1" customWidth="1"/>
    <col min="7683" max="7683" width="6.140625" style="788" bestFit="1" customWidth="1"/>
    <col min="7684" max="7684" width="21" style="788" bestFit="1" customWidth="1"/>
    <col min="7685" max="7936" width="11.42578125" style="788"/>
    <col min="7937" max="7937" width="10.85546875" style="788" bestFit="1" customWidth="1"/>
    <col min="7938" max="7938" width="36.140625" style="788" bestFit="1" customWidth="1"/>
    <col min="7939" max="7939" width="6.140625" style="788" bestFit="1" customWidth="1"/>
    <col min="7940" max="7940" width="21" style="788" bestFit="1" customWidth="1"/>
    <col min="7941" max="8192" width="11.42578125" style="788"/>
    <col min="8193" max="8193" width="10.85546875" style="788" bestFit="1" customWidth="1"/>
    <col min="8194" max="8194" width="36.140625" style="788" bestFit="1" customWidth="1"/>
    <col min="8195" max="8195" width="6.140625" style="788" bestFit="1" customWidth="1"/>
    <col min="8196" max="8196" width="21" style="788" bestFit="1" customWidth="1"/>
    <col min="8197" max="8448" width="11.42578125" style="788"/>
    <col min="8449" max="8449" width="10.85546875" style="788" bestFit="1" customWidth="1"/>
    <col min="8450" max="8450" width="36.140625" style="788" bestFit="1" customWidth="1"/>
    <col min="8451" max="8451" width="6.140625" style="788" bestFit="1" customWidth="1"/>
    <col min="8452" max="8452" width="21" style="788" bestFit="1" customWidth="1"/>
    <col min="8453" max="8704" width="11.42578125" style="788"/>
    <col min="8705" max="8705" width="10.85546875" style="788" bestFit="1" customWidth="1"/>
    <col min="8706" max="8706" width="36.140625" style="788" bestFit="1" customWidth="1"/>
    <col min="8707" max="8707" width="6.140625" style="788" bestFit="1" customWidth="1"/>
    <col min="8708" max="8708" width="21" style="788" bestFit="1" customWidth="1"/>
    <col min="8709" max="8960" width="11.42578125" style="788"/>
    <col min="8961" max="8961" width="10.85546875" style="788" bestFit="1" customWidth="1"/>
    <col min="8962" max="8962" width="36.140625" style="788" bestFit="1" customWidth="1"/>
    <col min="8963" max="8963" width="6.140625" style="788" bestFit="1" customWidth="1"/>
    <col min="8964" max="8964" width="21" style="788" bestFit="1" customWidth="1"/>
    <col min="8965" max="9216" width="11.42578125" style="788"/>
    <col min="9217" max="9217" width="10.85546875" style="788" bestFit="1" customWidth="1"/>
    <col min="9218" max="9218" width="36.140625" style="788" bestFit="1" customWidth="1"/>
    <col min="9219" max="9219" width="6.140625" style="788" bestFit="1" customWidth="1"/>
    <col min="9220" max="9220" width="21" style="788" bestFit="1" customWidth="1"/>
    <col min="9221" max="9472" width="11.42578125" style="788"/>
    <col min="9473" max="9473" width="10.85546875" style="788" bestFit="1" customWidth="1"/>
    <col min="9474" max="9474" width="36.140625" style="788" bestFit="1" customWidth="1"/>
    <col min="9475" max="9475" width="6.140625" style="788" bestFit="1" customWidth="1"/>
    <col min="9476" max="9476" width="21" style="788" bestFit="1" customWidth="1"/>
    <col min="9477" max="9728" width="11.42578125" style="788"/>
    <col min="9729" max="9729" width="10.85546875" style="788" bestFit="1" customWidth="1"/>
    <col min="9730" max="9730" width="36.140625" style="788" bestFit="1" customWidth="1"/>
    <col min="9731" max="9731" width="6.140625" style="788" bestFit="1" customWidth="1"/>
    <col min="9732" max="9732" width="21" style="788" bestFit="1" customWidth="1"/>
    <col min="9733" max="9984" width="11.42578125" style="788"/>
    <col min="9985" max="9985" width="10.85546875" style="788" bestFit="1" customWidth="1"/>
    <col min="9986" max="9986" width="36.140625" style="788" bestFit="1" customWidth="1"/>
    <col min="9987" max="9987" width="6.140625" style="788" bestFit="1" customWidth="1"/>
    <col min="9988" max="9988" width="21" style="788" bestFit="1" customWidth="1"/>
    <col min="9989" max="10240" width="11.42578125" style="788"/>
    <col min="10241" max="10241" width="10.85546875" style="788" bestFit="1" customWidth="1"/>
    <col min="10242" max="10242" width="36.140625" style="788" bestFit="1" customWidth="1"/>
    <col min="10243" max="10243" width="6.140625" style="788" bestFit="1" customWidth="1"/>
    <col min="10244" max="10244" width="21" style="788" bestFit="1" customWidth="1"/>
    <col min="10245" max="10496" width="11.42578125" style="788"/>
    <col min="10497" max="10497" width="10.85546875" style="788" bestFit="1" customWidth="1"/>
    <col min="10498" max="10498" width="36.140625" style="788" bestFit="1" customWidth="1"/>
    <col min="10499" max="10499" width="6.140625" style="788" bestFit="1" customWidth="1"/>
    <col min="10500" max="10500" width="21" style="788" bestFit="1" customWidth="1"/>
    <col min="10501" max="10752" width="11.42578125" style="788"/>
    <col min="10753" max="10753" width="10.85546875" style="788" bestFit="1" customWidth="1"/>
    <col min="10754" max="10754" width="36.140625" style="788" bestFit="1" customWidth="1"/>
    <col min="10755" max="10755" width="6.140625" style="788" bestFit="1" customWidth="1"/>
    <col min="10756" max="10756" width="21" style="788" bestFit="1" customWidth="1"/>
    <col min="10757" max="11008" width="11.42578125" style="788"/>
    <col min="11009" max="11009" width="10.85546875" style="788" bestFit="1" customWidth="1"/>
    <col min="11010" max="11010" width="36.140625" style="788" bestFit="1" customWidth="1"/>
    <col min="11011" max="11011" width="6.140625" style="788" bestFit="1" customWidth="1"/>
    <col min="11012" max="11012" width="21" style="788" bestFit="1" customWidth="1"/>
    <col min="11013" max="11264" width="11.42578125" style="788"/>
    <col min="11265" max="11265" width="10.85546875" style="788" bestFit="1" customWidth="1"/>
    <col min="11266" max="11266" width="36.140625" style="788" bestFit="1" customWidth="1"/>
    <col min="11267" max="11267" width="6.140625" style="788" bestFit="1" customWidth="1"/>
    <col min="11268" max="11268" width="21" style="788" bestFit="1" customWidth="1"/>
    <col min="11269" max="11520" width="11.42578125" style="788"/>
    <col min="11521" max="11521" width="10.85546875" style="788" bestFit="1" customWidth="1"/>
    <col min="11522" max="11522" width="36.140625" style="788" bestFit="1" customWidth="1"/>
    <col min="11523" max="11523" width="6.140625" style="788" bestFit="1" customWidth="1"/>
    <col min="11524" max="11524" width="21" style="788" bestFit="1" customWidth="1"/>
    <col min="11525" max="11776" width="11.42578125" style="788"/>
    <col min="11777" max="11777" width="10.85546875" style="788" bestFit="1" customWidth="1"/>
    <col min="11778" max="11778" width="36.140625" style="788" bestFit="1" customWidth="1"/>
    <col min="11779" max="11779" width="6.140625" style="788" bestFit="1" customWidth="1"/>
    <col min="11780" max="11780" width="21" style="788" bestFit="1" customWidth="1"/>
    <col min="11781" max="12032" width="11.42578125" style="788"/>
    <col min="12033" max="12033" width="10.85546875" style="788" bestFit="1" customWidth="1"/>
    <col min="12034" max="12034" width="36.140625" style="788" bestFit="1" customWidth="1"/>
    <col min="12035" max="12035" width="6.140625" style="788" bestFit="1" customWidth="1"/>
    <col min="12036" max="12036" width="21" style="788" bestFit="1" customWidth="1"/>
    <col min="12037" max="12288" width="11.42578125" style="788"/>
    <col min="12289" max="12289" width="10.85546875" style="788" bestFit="1" customWidth="1"/>
    <col min="12290" max="12290" width="36.140625" style="788" bestFit="1" customWidth="1"/>
    <col min="12291" max="12291" width="6.140625" style="788" bestFit="1" customWidth="1"/>
    <col min="12292" max="12292" width="21" style="788" bestFit="1" customWidth="1"/>
    <col min="12293" max="12544" width="11.42578125" style="788"/>
    <col min="12545" max="12545" width="10.85546875" style="788" bestFit="1" customWidth="1"/>
    <col min="12546" max="12546" width="36.140625" style="788" bestFit="1" customWidth="1"/>
    <col min="12547" max="12547" width="6.140625" style="788" bestFit="1" customWidth="1"/>
    <col min="12548" max="12548" width="21" style="788" bestFit="1" customWidth="1"/>
    <col min="12549" max="12800" width="11.42578125" style="788"/>
    <col min="12801" max="12801" width="10.85546875" style="788" bestFit="1" customWidth="1"/>
    <col min="12802" max="12802" width="36.140625" style="788" bestFit="1" customWidth="1"/>
    <col min="12803" max="12803" width="6.140625" style="788" bestFit="1" customWidth="1"/>
    <col min="12804" max="12804" width="21" style="788" bestFit="1" customWidth="1"/>
    <col min="12805" max="13056" width="11.42578125" style="788"/>
    <col min="13057" max="13057" width="10.85546875" style="788" bestFit="1" customWidth="1"/>
    <col min="13058" max="13058" width="36.140625" style="788" bestFit="1" customWidth="1"/>
    <col min="13059" max="13059" width="6.140625" style="788" bestFit="1" customWidth="1"/>
    <col min="13060" max="13060" width="21" style="788" bestFit="1" customWidth="1"/>
    <col min="13061" max="13312" width="11.42578125" style="788"/>
    <col min="13313" max="13313" width="10.85546875" style="788" bestFit="1" customWidth="1"/>
    <col min="13314" max="13314" width="36.140625" style="788" bestFit="1" customWidth="1"/>
    <col min="13315" max="13315" width="6.140625" style="788" bestFit="1" customWidth="1"/>
    <col min="13316" max="13316" width="21" style="788" bestFit="1" customWidth="1"/>
    <col min="13317" max="13568" width="11.42578125" style="788"/>
    <col min="13569" max="13569" width="10.85546875" style="788" bestFit="1" customWidth="1"/>
    <col min="13570" max="13570" width="36.140625" style="788" bestFit="1" customWidth="1"/>
    <col min="13571" max="13571" width="6.140625" style="788" bestFit="1" customWidth="1"/>
    <col min="13572" max="13572" width="21" style="788" bestFit="1" customWidth="1"/>
    <col min="13573" max="13824" width="11.42578125" style="788"/>
    <col min="13825" max="13825" width="10.85546875" style="788" bestFit="1" customWidth="1"/>
    <col min="13826" max="13826" width="36.140625" style="788" bestFit="1" customWidth="1"/>
    <col min="13827" max="13827" width="6.140625" style="788" bestFit="1" customWidth="1"/>
    <col min="13828" max="13828" width="21" style="788" bestFit="1" customWidth="1"/>
    <col min="13829" max="14080" width="11.42578125" style="788"/>
    <col min="14081" max="14081" width="10.85546875" style="788" bestFit="1" customWidth="1"/>
    <col min="14082" max="14082" width="36.140625" style="788" bestFit="1" customWidth="1"/>
    <col min="14083" max="14083" width="6.140625" style="788" bestFit="1" customWidth="1"/>
    <col min="14084" max="14084" width="21" style="788" bestFit="1" customWidth="1"/>
    <col min="14085" max="14336" width="11.42578125" style="788"/>
    <col min="14337" max="14337" width="10.85546875" style="788" bestFit="1" customWidth="1"/>
    <col min="14338" max="14338" width="36.140625" style="788" bestFit="1" customWidth="1"/>
    <col min="14339" max="14339" width="6.140625" style="788" bestFit="1" customWidth="1"/>
    <col min="14340" max="14340" width="21" style="788" bestFit="1" customWidth="1"/>
    <col min="14341" max="14592" width="11.42578125" style="788"/>
    <col min="14593" max="14593" width="10.85546875" style="788" bestFit="1" customWidth="1"/>
    <col min="14594" max="14594" width="36.140625" style="788" bestFit="1" customWidth="1"/>
    <col min="14595" max="14595" width="6.140625" style="788" bestFit="1" customWidth="1"/>
    <col min="14596" max="14596" width="21" style="788" bestFit="1" customWidth="1"/>
    <col min="14597" max="14848" width="11.42578125" style="788"/>
    <col min="14849" max="14849" width="10.85546875" style="788" bestFit="1" customWidth="1"/>
    <col min="14850" max="14850" width="36.140625" style="788" bestFit="1" customWidth="1"/>
    <col min="14851" max="14851" width="6.140625" style="788" bestFit="1" customWidth="1"/>
    <col min="14852" max="14852" width="21" style="788" bestFit="1" customWidth="1"/>
    <col min="14853" max="15104" width="11.42578125" style="788"/>
    <col min="15105" max="15105" width="10.85546875" style="788" bestFit="1" customWidth="1"/>
    <col min="15106" max="15106" width="36.140625" style="788" bestFit="1" customWidth="1"/>
    <col min="15107" max="15107" width="6.140625" style="788" bestFit="1" customWidth="1"/>
    <col min="15108" max="15108" width="21" style="788" bestFit="1" customWidth="1"/>
    <col min="15109" max="15360" width="11.42578125" style="788"/>
    <col min="15361" max="15361" width="10.85546875" style="788" bestFit="1" customWidth="1"/>
    <col min="15362" max="15362" width="36.140625" style="788" bestFit="1" customWidth="1"/>
    <col min="15363" max="15363" width="6.140625" style="788" bestFit="1" customWidth="1"/>
    <col min="15364" max="15364" width="21" style="788" bestFit="1" customWidth="1"/>
    <col min="15365" max="15616" width="11.42578125" style="788"/>
    <col min="15617" max="15617" width="10.85546875" style="788" bestFit="1" customWidth="1"/>
    <col min="15618" max="15618" width="36.140625" style="788" bestFit="1" customWidth="1"/>
    <col min="15619" max="15619" width="6.140625" style="788" bestFit="1" customWidth="1"/>
    <col min="15620" max="15620" width="21" style="788" bestFit="1" customWidth="1"/>
    <col min="15621" max="15872" width="11.42578125" style="788"/>
    <col min="15873" max="15873" width="10.85546875" style="788" bestFit="1" customWidth="1"/>
    <col min="15874" max="15874" width="36.140625" style="788" bestFit="1" customWidth="1"/>
    <col min="15875" max="15875" width="6.140625" style="788" bestFit="1" customWidth="1"/>
    <col min="15876" max="15876" width="21" style="788" bestFit="1" customWidth="1"/>
    <col min="15877" max="16128" width="11.42578125" style="788"/>
    <col min="16129" max="16129" width="10.85546875" style="788" bestFit="1" customWidth="1"/>
    <col min="16130" max="16130" width="36.140625" style="788" bestFit="1" customWidth="1"/>
    <col min="16131" max="16131" width="6.140625" style="788" bestFit="1" customWidth="1"/>
    <col min="16132" max="16132" width="21" style="788" bestFit="1" customWidth="1"/>
    <col min="16133" max="16384" width="11.42578125" style="788"/>
  </cols>
  <sheetData>
    <row r="1" spans="1:6" ht="15.75" x14ac:dyDescent="0.25">
      <c r="A1" s="1076" t="s">
        <v>342</v>
      </c>
      <c r="B1" s="1076"/>
      <c r="C1" s="1076"/>
      <c r="D1" s="1076"/>
      <c r="E1" s="1076"/>
      <c r="F1" s="787"/>
    </row>
    <row r="2" spans="1:6" ht="15.75" x14ac:dyDescent="0.25">
      <c r="A2" s="1076" t="s">
        <v>3579</v>
      </c>
      <c r="B2" s="1076"/>
      <c r="C2" s="1076"/>
      <c r="D2" s="1076"/>
      <c r="E2" s="1076"/>
      <c r="F2" s="787"/>
    </row>
    <row r="3" spans="1:6" ht="15.75" x14ac:dyDescent="0.25">
      <c r="A3" s="1076" t="s">
        <v>2680</v>
      </c>
      <c r="B3" s="1076"/>
      <c r="C3" s="1076"/>
      <c r="D3" s="1076"/>
      <c r="E3" s="1076"/>
      <c r="F3" s="787"/>
    </row>
    <row r="4" spans="1:6" ht="15.75" x14ac:dyDescent="0.25">
      <c r="A4" s="1020"/>
      <c r="B4" s="789"/>
      <c r="C4" s="789"/>
      <c r="D4" s="790"/>
      <c r="E4" s="1045"/>
      <c r="F4" s="787"/>
    </row>
    <row r="5" spans="1:6" ht="30" customHeight="1" x14ac:dyDescent="0.25">
      <c r="A5" s="1020" t="s">
        <v>974</v>
      </c>
      <c r="B5" s="789"/>
      <c r="C5" s="789"/>
      <c r="D5" s="1018" t="s">
        <v>3580</v>
      </c>
      <c r="E5" s="1037" t="s">
        <v>4147</v>
      </c>
      <c r="F5" s="787"/>
    </row>
    <row r="6" spans="1:6" x14ac:dyDescent="0.2">
      <c r="A6" s="791"/>
      <c r="B6" s="792"/>
      <c r="C6" s="792"/>
      <c r="D6" s="793"/>
      <c r="E6" s="1046"/>
      <c r="F6" s="58"/>
    </row>
    <row r="7" spans="1:6" x14ac:dyDescent="0.2">
      <c r="A7" s="791">
        <v>1</v>
      </c>
      <c r="B7" s="792" t="s">
        <v>975</v>
      </c>
      <c r="C7" s="792"/>
      <c r="D7" s="793">
        <v>132182704768.91</v>
      </c>
      <c r="E7" s="1047">
        <f>D7/D18</f>
        <v>0.91015696905017451</v>
      </c>
      <c r="F7" s="58"/>
    </row>
    <row r="8" spans="1:6" x14ac:dyDescent="0.2">
      <c r="A8" s="791">
        <v>2</v>
      </c>
      <c r="B8" s="792" t="s">
        <v>976</v>
      </c>
      <c r="C8" s="792"/>
      <c r="D8" s="793">
        <v>1213820864.72</v>
      </c>
      <c r="E8" s="1047">
        <f>D8/D18</f>
        <v>8.3578825318701127E-3</v>
      </c>
      <c r="F8" s="58"/>
    </row>
    <row r="9" spans="1:6" x14ac:dyDescent="0.2">
      <c r="A9" s="791">
        <v>3</v>
      </c>
      <c r="B9" s="792" t="s">
        <v>1221</v>
      </c>
      <c r="C9" s="792"/>
      <c r="D9" s="793">
        <v>3065479840.52</v>
      </c>
      <c r="E9" s="1047">
        <f>D9/D18</f>
        <v>2.1107661892755675E-2</v>
      </c>
      <c r="F9" s="58"/>
    </row>
    <row r="10" spans="1:6" x14ac:dyDescent="0.2">
      <c r="A10" s="791">
        <v>4</v>
      </c>
      <c r="B10" s="792" t="s">
        <v>478</v>
      </c>
      <c r="C10" s="792"/>
      <c r="D10" s="793">
        <v>6456352.0999999996</v>
      </c>
      <c r="E10" s="1047">
        <f>D10/D18</f>
        <v>4.4455845178308538E-5</v>
      </c>
      <c r="F10" s="58"/>
    </row>
    <row r="11" spans="1:6" x14ac:dyDescent="0.2">
      <c r="A11" s="791">
        <v>5</v>
      </c>
      <c r="B11" s="792" t="s">
        <v>1391</v>
      </c>
      <c r="C11" s="792"/>
      <c r="D11" s="793">
        <v>3209478447.9000001</v>
      </c>
      <c r="E11" s="1047">
        <f>D11/D18</f>
        <v>2.2099178417323367E-2</v>
      </c>
      <c r="F11" s="58"/>
    </row>
    <row r="12" spans="1:6" x14ac:dyDescent="0.2">
      <c r="A12" s="791">
        <v>6</v>
      </c>
      <c r="B12" s="792" t="s">
        <v>1219</v>
      </c>
      <c r="C12" s="792"/>
      <c r="D12" s="793">
        <v>220694744.88</v>
      </c>
      <c r="E12" s="1047">
        <f>D12/D18</f>
        <v>1.5196152963918403E-3</v>
      </c>
      <c r="F12" s="58"/>
    </row>
    <row r="13" spans="1:6" x14ac:dyDescent="0.2">
      <c r="A13" s="791">
        <v>7</v>
      </c>
      <c r="B13" s="792" t="s">
        <v>3595</v>
      </c>
      <c r="C13" s="792"/>
      <c r="D13" s="793">
        <v>914012641.51999998</v>
      </c>
      <c r="E13" s="1047">
        <f>D13/D18</f>
        <v>6.2935236265119349E-3</v>
      </c>
      <c r="F13" s="58"/>
    </row>
    <row r="14" spans="1:6" x14ac:dyDescent="0.2">
      <c r="A14" s="791">
        <v>8</v>
      </c>
      <c r="B14" s="792" t="s">
        <v>1368</v>
      </c>
      <c r="C14" s="792"/>
      <c r="D14" s="793">
        <v>648728268.87</v>
      </c>
      <c r="E14" s="1047">
        <f>D14/D18</f>
        <v>4.4668820778341438E-3</v>
      </c>
      <c r="F14" s="58"/>
    </row>
    <row r="15" spans="1:6" x14ac:dyDescent="0.2">
      <c r="A15" s="791">
        <v>9</v>
      </c>
      <c r="B15" s="792" t="s">
        <v>1369</v>
      </c>
      <c r="C15" s="792"/>
      <c r="D15" s="793">
        <v>1446907888.1900001</v>
      </c>
      <c r="E15" s="1047">
        <f>D15/D18</f>
        <v>9.9628260770734615E-3</v>
      </c>
      <c r="F15" s="58"/>
    </row>
    <row r="16" spans="1:6" x14ac:dyDescent="0.2">
      <c r="A16" s="791">
        <v>10</v>
      </c>
      <c r="B16" s="792" t="s">
        <v>1777</v>
      </c>
      <c r="C16" s="792"/>
      <c r="D16" s="795">
        <v>2322384367.96</v>
      </c>
      <c r="E16" s="1048">
        <f>D16/D18</f>
        <v>1.5991005184886633E-2</v>
      </c>
      <c r="F16" s="58"/>
    </row>
    <row r="17" spans="1:6" x14ac:dyDescent="0.2">
      <c r="A17" s="791"/>
      <c r="B17" s="792"/>
      <c r="C17" s="792"/>
      <c r="D17" s="793"/>
      <c r="E17" s="1046"/>
      <c r="F17" s="58"/>
    </row>
    <row r="18" spans="1:6" ht="16.5" thickBot="1" x14ac:dyDescent="0.3">
      <c r="A18" s="1020"/>
      <c r="B18" s="789" t="s">
        <v>3596</v>
      </c>
      <c r="C18" s="789"/>
      <c r="D18" s="796">
        <f>SUM(D7:D17)</f>
        <v>145230668185.57001</v>
      </c>
      <c r="E18" s="1049">
        <f>SUM(E7:E17)</f>
        <v>1</v>
      </c>
      <c r="F18" s="787"/>
    </row>
    <row r="19" spans="1:6" ht="15.75" thickTop="1" x14ac:dyDescent="0.2">
      <c r="A19" s="791"/>
      <c r="B19" s="792"/>
      <c r="C19" s="792"/>
      <c r="D19" s="793"/>
      <c r="E19" s="1050"/>
      <c r="F19" s="58"/>
    </row>
    <row r="20" spans="1:6" x14ac:dyDescent="0.2">
      <c r="A20" s="791"/>
      <c r="B20" s="792"/>
      <c r="C20" s="792"/>
      <c r="D20" s="793"/>
      <c r="E20" s="1046"/>
      <c r="F20" s="58"/>
    </row>
    <row r="21" spans="1:6" x14ac:dyDescent="0.2">
      <c r="A21" s="791"/>
      <c r="B21" s="792"/>
      <c r="C21" s="792"/>
      <c r="D21" s="793"/>
      <c r="E21" s="1046"/>
      <c r="F21" s="58"/>
    </row>
    <row r="22" spans="1:6" x14ac:dyDescent="0.2">
      <c r="A22" s="791"/>
      <c r="B22" s="792"/>
      <c r="C22" s="792"/>
      <c r="D22" s="793"/>
      <c r="E22" s="1046"/>
      <c r="F22" s="58"/>
    </row>
    <row r="23" spans="1:6" ht="15.75" x14ac:dyDescent="0.25">
      <c r="A23" s="1076" t="s">
        <v>930</v>
      </c>
      <c r="B23" s="1076"/>
      <c r="C23" s="1076"/>
      <c r="D23" s="1076"/>
      <c r="E23" s="1076"/>
      <c r="F23" s="787"/>
    </row>
    <row r="24" spans="1:6" ht="15.75" x14ac:dyDescent="0.25">
      <c r="A24" s="1076" t="s">
        <v>3579</v>
      </c>
      <c r="B24" s="1076"/>
      <c r="C24" s="1076"/>
      <c r="D24" s="1076"/>
      <c r="E24" s="1076"/>
      <c r="F24" s="787"/>
    </row>
    <row r="25" spans="1:6" ht="15.75" x14ac:dyDescent="0.25">
      <c r="A25" s="1076" t="s">
        <v>2680</v>
      </c>
      <c r="B25" s="1076"/>
      <c r="C25" s="1076"/>
      <c r="D25" s="1076"/>
      <c r="E25" s="1076"/>
      <c r="F25" s="787"/>
    </row>
    <row r="26" spans="1:6" ht="15.75" x14ac:dyDescent="0.25">
      <c r="A26" s="1020"/>
      <c r="B26" s="789"/>
      <c r="C26" s="789"/>
      <c r="D26" s="790"/>
      <c r="E26" s="1045"/>
      <c r="F26" s="787"/>
    </row>
    <row r="27" spans="1:6" ht="30" x14ac:dyDescent="0.25">
      <c r="A27" s="1020" t="s">
        <v>1220</v>
      </c>
      <c r="B27" s="789"/>
      <c r="C27" s="789"/>
      <c r="D27" s="1018" t="s">
        <v>3580</v>
      </c>
      <c r="E27" s="1037" t="s">
        <v>4147</v>
      </c>
      <c r="F27" s="787"/>
    </row>
    <row r="28" spans="1:6" x14ac:dyDescent="0.2">
      <c r="A28" s="791"/>
      <c r="B28" s="792"/>
      <c r="C28" s="792"/>
      <c r="D28" s="793"/>
      <c r="E28" s="1046"/>
      <c r="F28" s="58"/>
    </row>
    <row r="29" spans="1:6" x14ac:dyDescent="0.2">
      <c r="A29" s="791">
        <v>0</v>
      </c>
      <c r="B29" s="792" t="s">
        <v>268</v>
      </c>
      <c r="C29" s="792"/>
      <c r="D29" s="793">
        <v>101345331615.13</v>
      </c>
      <c r="E29" s="1047">
        <f>D29/D38</f>
        <v>0.6978232137969298</v>
      </c>
      <c r="F29" s="58"/>
    </row>
    <row r="30" spans="1:6" x14ac:dyDescent="0.2">
      <c r="A30" s="791">
        <v>1</v>
      </c>
      <c r="B30" s="792" t="s">
        <v>3597</v>
      </c>
      <c r="C30" s="792"/>
      <c r="D30" s="793">
        <v>8123705869.4899998</v>
      </c>
      <c r="E30" s="1047">
        <f>D30/D38</f>
        <v>5.5936572977202365E-2</v>
      </c>
      <c r="F30" s="58"/>
    </row>
    <row r="31" spans="1:6" x14ac:dyDescent="0.2">
      <c r="A31" s="791">
        <v>2</v>
      </c>
      <c r="B31" s="792" t="s">
        <v>18</v>
      </c>
      <c r="C31" s="792"/>
      <c r="D31" s="793">
        <v>2412534718.8299999</v>
      </c>
      <c r="E31" s="1047">
        <f>D31/D38</f>
        <v>1.6611744261531305E-2</v>
      </c>
      <c r="F31" s="58"/>
    </row>
    <row r="32" spans="1:6" x14ac:dyDescent="0.2">
      <c r="A32" s="791">
        <v>3</v>
      </c>
      <c r="B32" s="792" t="s">
        <v>269</v>
      </c>
      <c r="C32" s="792"/>
      <c r="D32" s="793">
        <v>1188293945.1600001</v>
      </c>
      <c r="E32" s="1047">
        <f>D32/D38</f>
        <v>8.1821144253198981E-3</v>
      </c>
      <c r="F32" s="58"/>
    </row>
    <row r="33" spans="1:6" x14ac:dyDescent="0.2">
      <c r="A33" s="791">
        <v>4</v>
      </c>
      <c r="B33" s="792" t="s">
        <v>270</v>
      </c>
      <c r="C33" s="792"/>
      <c r="D33" s="793">
        <v>6456352.0999999996</v>
      </c>
      <c r="E33" s="1047">
        <f>D33/D38</f>
        <v>4.4455845178308532E-5</v>
      </c>
      <c r="F33" s="58"/>
    </row>
    <row r="34" spans="1:6" x14ac:dyDescent="0.2">
      <c r="A34" s="791">
        <v>5</v>
      </c>
      <c r="B34" s="792" t="s">
        <v>555</v>
      </c>
      <c r="C34" s="792"/>
      <c r="D34" s="793">
        <v>10847673463.030001</v>
      </c>
      <c r="E34" s="1047">
        <f>D34/D38</f>
        <v>7.4692718821408099E-2</v>
      </c>
      <c r="F34" s="58"/>
    </row>
    <row r="35" spans="1:6" x14ac:dyDescent="0.2">
      <c r="A35" s="791">
        <v>6</v>
      </c>
      <c r="B35" s="792" t="s">
        <v>271</v>
      </c>
      <c r="C35" s="792"/>
      <c r="D35" s="793">
        <v>21120416456.540001</v>
      </c>
      <c r="E35" s="1047">
        <f>D35/D38</f>
        <v>0.14542669754540524</v>
      </c>
      <c r="F35" s="58"/>
    </row>
    <row r="36" spans="1:6" x14ac:dyDescent="0.2">
      <c r="A36" s="791">
        <v>8</v>
      </c>
      <c r="B36" s="792" t="s">
        <v>272</v>
      </c>
      <c r="C36" s="792"/>
      <c r="D36" s="795">
        <v>186255765.28999999</v>
      </c>
      <c r="E36" s="1048">
        <f>D36/D38</f>
        <v>1.2824823270248245E-3</v>
      </c>
      <c r="F36" s="58"/>
    </row>
    <row r="37" spans="1:6" x14ac:dyDescent="0.2">
      <c r="A37" s="791"/>
      <c r="B37" s="792"/>
      <c r="C37" s="792"/>
      <c r="D37" s="793"/>
      <c r="E37" s="1046"/>
      <c r="F37" s="58"/>
    </row>
    <row r="38" spans="1:6" ht="16.5" thickBot="1" x14ac:dyDescent="0.3">
      <c r="A38" s="1020"/>
      <c r="B38" s="789" t="s">
        <v>3596</v>
      </c>
      <c r="C38" s="789"/>
      <c r="D38" s="796">
        <f>SUM(D29:D37)</f>
        <v>145230668185.57004</v>
      </c>
      <c r="E38" s="1049">
        <f>SUM(E29:E37)</f>
        <v>0.99999999999999978</v>
      </c>
      <c r="F38" s="787"/>
    </row>
    <row r="39" spans="1:6" ht="15.75" thickTop="1" x14ac:dyDescent="0.2">
      <c r="A39" s="590"/>
      <c r="B39" s="590"/>
      <c r="C39" s="590"/>
      <c r="D39" s="590"/>
    </row>
    <row r="41" spans="1:6" x14ac:dyDescent="0.2">
      <c r="A41" s="799" t="s">
        <v>121</v>
      </c>
    </row>
    <row r="42" spans="1:6" x14ac:dyDescent="0.2">
      <c r="A42" s="780" t="s">
        <v>4149</v>
      </c>
    </row>
  </sheetData>
  <mergeCells count="6">
    <mergeCell ref="A24:E24"/>
    <mergeCell ref="A25:E25"/>
    <mergeCell ref="A1:E1"/>
    <mergeCell ref="A2:E2"/>
    <mergeCell ref="A3:E3"/>
    <mergeCell ref="A23:E23"/>
  </mergeCells>
  <phoneticPr fontId="0" type="noConversion"/>
  <printOptions horizontalCentered="1"/>
  <pageMargins left="0.78740157480314965" right="0.78740157480314965" top="1.9573228346456695" bottom="0.98425196850393704" header="0.6692913385826772" footer="0.86614173228346458"/>
  <pageSetup paperSize="9" scale="85" firstPageNumber="63" orientation="portrait" r:id="rId1"/>
  <headerFooter alignWithMargins="0">
    <oddHeader xml:space="preserve">&amp;C&amp;"Arial,Negrita"&amp;11UNIVERSIDAD DE COSTA RICA
VICERRECTORÍA DE ADMINISTRACIÓN
OFICINA DE ADMINISTRACIÓN FINANCIERA
&amp;R&amp;"Arial,Negrita"
</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90"/>
  <sheetViews>
    <sheetView topLeftCell="A67" workbookViewId="0">
      <selection activeCell="F99" sqref="F99"/>
    </sheetView>
  </sheetViews>
  <sheetFormatPr baseColWidth="10" defaultRowHeight="12.75" x14ac:dyDescent="0.2"/>
  <cols>
    <col min="1" max="1" width="9.28515625" style="552" bestFit="1" customWidth="1"/>
    <col min="2" max="2" width="41.28515625" style="528" customWidth="1"/>
    <col min="3" max="3" width="1.42578125" style="528" customWidth="1"/>
    <col min="4" max="4" width="18.7109375" style="550" bestFit="1" customWidth="1"/>
    <col min="5" max="5" width="1.42578125" style="550" customWidth="1"/>
    <col min="6" max="6" width="18.7109375" style="550" bestFit="1" customWidth="1"/>
    <col min="7" max="7" width="1.7109375" style="550" customWidth="1"/>
    <col min="8" max="8" width="18.7109375" style="550" bestFit="1" customWidth="1"/>
    <col min="9" max="9" width="2" style="553" customWidth="1"/>
    <col min="10" max="10" width="12.7109375" style="528" bestFit="1" customWidth="1"/>
    <col min="11" max="256" width="10.85546875" style="528"/>
    <col min="257" max="257" width="9.28515625" style="528" bestFit="1" customWidth="1"/>
    <col min="258" max="258" width="41.28515625" style="528" customWidth="1"/>
    <col min="259" max="259" width="1.42578125" style="528" customWidth="1"/>
    <col min="260" max="260" width="18.7109375" style="528" bestFit="1" customWidth="1"/>
    <col min="261" max="261" width="1.42578125" style="528" customWidth="1"/>
    <col min="262" max="262" width="18.7109375" style="528" bestFit="1" customWidth="1"/>
    <col min="263" max="263" width="1.7109375" style="528" customWidth="1"/>
    <col min="264" max="264" width="18.7109375" style="528" bestFit="1" customWidth="1"/>
    <col min="265" max="265" width="2" style="528" customWidth="1"/>
    <col min="266" max="266" width="12.7109375" style="528" bestFit="1" customWidth="1"/>
    <col min="267" max="512" width="10.85546875" style="528"/>
    <col min="513" max="513" width="9.28515625" style="528" bestFit="1" customWidth="1"/>
    <col min="514" max="514" width="41.28515625" style="528" customWidth="1"/>
    <col min="515" max="515" width="1.42578125" style="528" customWidth="1"/>
    <col min="516" max="516" width="18.7109375" style="528" bestFit="1" customWidth="1"/>
    <col min="517" max="517" width="1.42578125" style="528" customWidth="1"/>
    <col min="518" max="518" width="18.7109375" style="528" bestFit="1" customWidth="1"/>
    <col min="519" max="519" width="1.7109375" style="528" customWidth="1"/>
    <col min="520" max="520" width="18.7109375" style="528" bestFit="1" customWidth="1"/>
    <col min="521" max="521" width="2" style="528" customWidth="1"/>
    <col min="522" max="522" width="12.7109375" style="528" bestFit="1" customWidth="1"/>
    <col min="523" max="768" width="10.85546875" style="528"/>
    <col min="769" max="769" width="9.28515625" style="528" bestFit="1" customWidth="1"/>
    <col min="770" max="770" width="41.28515625" style="528" customWidth="1"/>
    <col min="771" max="771" width="1.42578125" style="528" customWidth="1"/>
    <col min="772" max="772" width="18.7109375" style="528" bestFit="1" customWidth="1"/>
    <col min="773" max="773" width="1.42578125" style="528" customWidth="1"/>
    <col min="774" max="774" width="18.7109375" style="528" bestFit="1" customWidth="1"/>
    <col min="775" max="775" width="1.7109375" style="528" customWidth="1"/>
    <col min="776" max="776" width="18.7109375" style="528" bestFit="1" customWidth="1"/>
    <col min="777" max="777" width="2" style="528" customWidth="1"/>
    <col min="778" max="778" width="12.7109375" style="528" bestFit="1" customWidth="1"/>
    <col min="779" max="1024" width="10.85546875" style="528"/>
    <col min="1025" max="1025" width="9.28515625" style="528" bestFit="1" customWidth="1"/>
    <col min="1026" max="1026" width="41.28515625" style="528" customWidth="1"/>
    <col min="1027" max="1027" width="1.42578125" style="528" customWidth="1"/>
    <col min="1028" max="1028" width="18.7109375" style="528" bestFit="1" customWidth="1"/>
    <col min="1029" max="1029" width="1.42578125" style="528" customWidth="1"/>
    <col min="1030" max="1030" width="18.7109375" style="528" bestFit="1" customWidth="1"/>
    <col min="1031" max="1031" width="1.7109375" style="528" customWidth="1"/>
    <col min="1032" max="1032" width="18.7109375" style="528" bestFit="1" customWidth="1"/>
    <col min="1033" max="1033" width="2" style="528" customWidth="1"/>
    <col min="1034" max="1034" width="12.7109375" style="528" bestFit="1" customWidth="1"/>
    <col min="1035" max="1280" width="10.85546875" style="528"/>
    <col min="1281" max="1281" width="9.28515625" style="528" bestFit="1" customWidth="1"/>
    <col min="1282" max="1282" width="41.28515625" style="528" customWidth="1"/>
    <col min="1283" max="1283" width="1.42578125" style="528" customWidth="1"/>
    <col min="1284" max="1284" width="18.7109375" style="528" bestFit="1" customWidth="1"/>
    <col min="1285" max="1285" width="1.42578125" style="528" customWidth="1"/>
    <col min="1286" max="1286" width="18.7109375" style="528" bestFit="1" customWidth="1"/>
    <col min="1287" max="1287" width="1.7109375" style="528" customWidth="1"/>
    <col min="1288" max="1288" width="18.7109375" style="528" bestFit="1" customWidth="1"/>
    <col min="1289" max="1289" width="2" style="528" customWidth="1"/>
    <col min="1290" max="1290" width="12.7109375" style="528" bestFit="1" customWidth="1"/>
    <col min="1291" max="1536" width="10.85546875" style="528"/>
    <col min="1537" max="1537" width="9.28515625" style="528" bestFit="1" customWidth="1"/>
    <col min="1538" max="1538" width="41.28515625" style="528" customWidth="1"/>
    <col min="1539" max="1539" width="1.42578125" style="528" customWidth="1"/>
    <col min="1540" max="1540" width="18.7109375" style="528" bestFit="1" customWidth="1"/>
    <col min="1541" max="1541" width="1.42578125" style="528" customWidth="1"/>
    <col min="1542" max="1542" width="18.7109375" style="528" bestFit="1" customWidth="1"/>
    <col min="1543" max="1543" width="1.7109375" style="528" customWidth="1"/>
    <col min="1544" max="1544" width="18.7109375" style="528" bestFit="1" customWidth="1"/>
    <col min="1545" max="1545" width="2" style="528" customWidth="1"/>
    <col min="1546" max="1546" width="12.7109375" style="528" bestFit="1" customWidth="1"/>
    <col min="1547" max="1792" width="10.85546875" style="528"/>
    <col min="1793" max="1793" width="9.28515625" style="528" bestFit="1" customWidth="1"/>
    <col min="1794" max="1794" width="41.28515625" style="528" customWidth="1"/>
    <col min="1795" max="1795" width="1.42578125" style="528" customWidth="1"/>
    <col min="1796" max="1796" width="18.7109375" style="528" bestFit="1" customWidth="1"/>
    <col min="1797" max="1797" width="1.42578125" style="528" customWidth="1"/>
    <col min="1798" max="1798" width="18.7109375" style="528" bestFit="1" customWidth="1"/>
    <col min="1799" max="1799" width="1.7109375" style="528" customWidth="1"/>
    <col min="1800" max="1800" width="18.7109375" style="528" bestFit="1" customWidth="1"/>
    <col min="1801" max="1801" width="2" style="528" customWidth="1"/>
    <col min="1802" max="1802" width="12.7109375" style="528" bestFit="1" customWidth="1"/>
    <col min="1803" max="2048" width="10.85546875" style="528"/>
    <col min="2049" max="2049" width="9.28515625" style="528" bestFit="1" customWidth="1"/>
    <col min="2050" max="2050" width="41.28515625" style="528" customWidth="1"/>
    <col min="2051" max="2051" width="1.42578125" style="528" customWidth="1"/>
    <col min="2052" max="2052" width="18.7109375" style="528" bestFit="1" customWidth="1"/>
    <col min="2053" max="2053" width="1.42578125" style="528" customWidth="1"/>
    <col min="2054" max="2054" width="18.7109375" style="528" bestFit="1" customWidth="1"/>
    <col min="2055" max="2055" width="1.7109375" style="528" customWidth="1"/>
    <col min="2056" max="2056" width="18.7109375" style="528" bestFit="1" customWidth="1"/>
    <col min="2057" max="2057" width="2" style="528" customWidth="1"/>
    <col min="2058" max="2058" width="12.7109375" style="528" bestFit="1" customWidth="1"/>
    <col min="2059" max="2304" width="10.85546875" style="528"/>
    <col min="2305" max="2305" width="9.28515625" style="528" bestFit="1" customWidth="1"/>
    <col min="2306" max="2306" width="41.28515625" style="528" customWidth="1"/>
    <col min="2307" max="2307" width="1.42578125" style="528" customWidth="1"/>
    <col min="2308" max="2308" width="18.7109375" style="528" bestFit="1" customWidth="1"/>
    <col min="2309" max="2309" width="1.42578125" style="528" customWidth="1"/>
    <col min="2310" max="2310" width="18.7109375" style="528" bestFit="1" customWidth="1"/>
    <col min="2311" max="2311" width="1.7109375" style="528" customWidth="1"/>
    <col min="2312" max="2312" width="18.7109375" style="528" bestFit="1" customWidth="1"/>
    <col min="2313" max="2313" width="2" style="528" customWidth="1"/>
    <col min="2314" max="2314" width="12.7109375" style="528" bestFit="1" customWidth="1"/>
    <col min="2315" max="2560" width="10.85546875" style="528"/>
    <col min="2561" max="2561" width="9.28515625" style="528" bestFit="1" customWidth="1"/>
    <col min="2562" max="2562" width="41.28515625" style="528" customWidth="1"/>
    <col min="2563" max="2563" width="1.42578125" style="528" customWidth="1"/>
    <col min="2564" max="2564" width="18.7109375" style="528" bestFit="1" customWidth="1"/>
    <col min="2565" max="2565" width="1.42578125" style="528" customWidth="1"/>
    <col min="2566" max="2566" width="18.7109375" style="528" bestFit="1" customWidth="1"/>
    <col min="2567" max="2567" width="1.7109375" style="528" customWidth="1"/>
    <col min="2568" max="2568" width="18.7109375" style="528" bestFit="1" customWidth="1"/>
    <col min="2569" max="2569" width="2" style="528" customWidth="1"/>
    <col min="2570" max="2570" width="12.7109375" style="528" bestFit="1" customWidth="1"/>
    <col min="2571" max="2816" width="10.85546875" style="528"/>
    <col min="2817" max="2817" width="9.28515625" style="528" bestFit="1" customWidth="1"/>
    <col min="2818" max="2818" width="41.28515625" style="528" customWidth="1"/>
    <col min="2819" max="2819" width="1.42578125" style="528" customWidth="1"/>
    <col min="2820" max="2820" width="18.7109375" style="528" bestFit="1" customWidth="1"/>
    <col min="2821" max="2821" width="1.42578125" style="528" customWidth="1"/>
    <col min="2822" max="2822" width="18.7109375" style="528" bestFit="1" customWidth="1"/>
    <col min="2823" max="2823" width="1.7109375" style="528" customWidth="1"/>
    <col min="2824" max="2824" width="18.7109375" style="528" bestFit="1" customWidth="1"/>
    <col min="2825" max="2825" width="2" style="528" customWidth="1"/>
    <col min="2826" max="2826" width="12.7109375" style="528" bestFit="1" customWidth="1"/>
    <col min="2827" max="3072" width="10.85546875" style="528"/>
    <col min="3073" max="3073" width="9.28515625" style="528" bestFit="1" customWidth="1"/>
    <col min="3074" max="3074" width="41.28515625" style="528" customWidth="1"/>
    <col min="3075" max="3075" width="1.42578125" style="528" customWidth="1"/>
    <col min="3076" max="3076" width="18.7109375" style="528" bestFit="1" customWidth="1"/>
    <col min="3077" max="3077" width="1.42578125" style="528" customWidth="1"/>
    <col min="3078" max="3078" width="18.7109375" style="528" bestFit="1" customWidth="1"/>
    <col min="3079" max="3079" width="1.7109375" style="528" customWidth="1"/>
    <col min="3080" max="3080" width="18.7109375" style="528" bestFit="1" customWidth="1"/>
    <col min="3081" max="3081" width="2" style="528" customWidth="1"/>
    <col min="3082" max="3082" width="12.7109375" style="528" bestFit="1" customWidth="1"/>
    <col min="3083" max="3328" width="10.85546875" style="528"/>
    <col min="3329" max="3329" width="9.28515625" style="528" bestFit="1" customWidth="1"/>
    <col min="3330" max="3330" width="41.28515625" style="528" customWidth="1"/>
    <col min="3331" max="3331" width="1.42578125" style="528" customWidth="1"/>
    <col min="3332" max="3332" width="18.7109375" style="528" bestFit="1" customWidth="1"/>
    <col min="3333" max="3333" width="1.42578125" style="528" customWidth="1"/>
    <col min="3334" max="3334" width="18.7109375" style="528" bestFit="1" customWidth="1"/>
    <col min="3335" max="3335" width="1.7109375" style="528" customWidth="1"/>
    <col min="3336" max="3336" width="18.7109375" style="528" bestFit="1" customWidth="1"/>
    <col min="3337" max="3337" width="2" style="528" customWidth="1"/>
    <col min="3338" max="3338" width="12.7109375" style="528" bestFit="1" customWidth="1"/>
    <col min="3339" max="3584" width="10.85546875" style="528"/>
    <col min="3585" max="3585" width="9.28515625" style="528" bestFit="1" customWidth="1"/>
    <col min="3586" max="3586" width="41.28515625" style="528" customWidth="1"/>
    <col min="3587" max="3587" width="1.42578125" style="528" customWidth="1"/>
    <col min="3588" max="3588" width="18.7109375" style="528" bestFit="1" customWidth="1"/>
    <col min="3589" max="3589" width="1.42578125" style="528" customWidth="1"/>
    <col min="3590" max="3590" width="18.7109375" style="528" bestFit="1" customWidth="1"/>
    <col min="3591" max="3591" width="1.7109375" style="528" customWidth="1"/>
    <col min="3592" max="3592" width="18.7109375" style="528" bestFit="1" customWidth="1"/>
    <col min="3593" max="3593" width="2" style="528" customWidth="1"/>
    <col min="3594" max="3594" width="12.7109375" style="528" bestFit="1" customWidth="1"/>
    <col min="3595" max="3840" width="10.85546875" style="528"/>
    <col min="3841" max="3841" width="9.28515625" style="528" bestFit="1" customWidth="1"/>
    <col min="3842" max="3842" width="41.28515625" style="528" customWidth="1"/>
    <col min="3843" max="3843" width="1.42578125" style="528" customWidth="1"/>
    <col min="3844" max="3844" width="18.7109375" style="528" bestFit="1" customWidth="1"/>
    <col min="3845" max="3845" width="1.42578125" style="528" customWidth="1"/>
    <col min="3846" max="3846" width="18.7109375" style="528" bestFit="1" customWidth="1"/>
    <col min="3847" max="3847" width="1.7109375" style="528" customWidth="1"/>
    <col min="3848" max="3848" width="18.7109375" style="528" bestFit="1" customWidth="1"/>
    <col min="3849" max="3849" width="2" style="528" customWidth="1"/>
    <col min="3850" max="3850" width="12.7109375" style="528" bestFit="1" customWidth="1"/>
    <col min="3851" max="4096" width="10.85546875" style="528"/>
    <col min="4097" max="4097" width="9.28515625" style="528" bestFit="1" customWidth="1"/>
    <col min="4098" max="4098" width="41.28515625" style="528" customWidth="1"/>
    <col min="4099" max="4099" width="1.42578125" style="528" customWidth="1"/>
    <col min="4100" max="4100" width="18.7109375" style="528" bestFit="1" customWidth="1"/>
    <col min="4101" max="4101" width="1.42578125" style="528" customWidth="1"/>
    <col min="4102" max="4102" width="18.7109375" style="528" bestFit="1" customWidth="1"/>
    <col min="4103" max="4103" width="1.7109375" style="528" customWidth="1"/>
    <col min="4104" max="4104" width="18.7109375" style="528" bestFit="1" customWidth="1"/>
    <col min="4105" max="4105" width="2" style="528" customWidth="1"/>
    <col min="4106" max="4106" width="12.7109375" style="528" bestFit="1" customWidth="1"/>
    <col min="4107" max="4352" width="10.85546875" style="528"/>
    <col min="4353" max="4353" width="9.28515625" style="528" bestFit="1" customWidth="1"/>
    <col min="4354" max="4354" width="41.28515625" style="528" customWidth="1"/>
    <col min="4355" max="4355" width="1.42578125" style="528" customWidth="1"/>
    <col min="4356" max="4356" width="18.7109375" style="528" bestFit="1" customWidth="1"/>
    <col min="4357" max="4357" width="1.42578125" style="528" customWidth="1"/>
    <col min="4358" max="4358" width="18.7109375" style="528" bestFit="1" customWidth="1"/>
    <col min="4359" max="4359" width="1.7109375" style="528" customWidth="1"/>
    <col min="4360" max="4360" width="18.7109375" style="528" bestFit="1" customWidth="1"/>
    <col min="4361" max="4361" width="2" style="528" customWidth="1"/>
    <col min="4362" max="4362" width="12.7109375" style="528" bestFit="1" customWidth="1"/>
    <col min="4363" max="4608" width="10.85546875" style="528"/>
    <col min="4609" max="4609" width="9.28515625" style="528" bestFit="1" customWidth="1"/>
    <col min="4610" max="4610" width="41.28515625" style="528" customWidth="1"/>
    <col min="4611" max="4611" width="1.42578125" style="528" customWidth="1"/>
    <col min="4612" max="4612" width="18.7109375" style="528" bestFit="1" customWidth="1"/>
    <col min="4613" max="4613" width="1.42578125" style="528" customWidth="1"/>
    <col min="4614" max="4614" width="18.7109375" style="528" bestFit="1" customWidth="1"/>
    <col min="4615" max="4615" width="1.7109375" style="528" customWidth="1"/>
    <col min="4616" max="4616" width="18.7109375" style="528" bestFit="1" customWidth="1"/>
    <col min="4617" max="4617" width="2" style="528" customWidth="1"/>
    <col min="4618" max="4618" width="12.7109375" style="528" bestFit="1" customWidth="1"/>
    <col min="4619" max="4864" width="10.85546875" style="528"/>
    <col min="4865" max="4865" width="9.28515625" style="528" bestFit="1" customWidth="1"/>
    <col min="4866" max="4866" width="41.28515625" style="528" customWidth="1"/>
    <col min="4867" max="4867" width="1.42578125" style="528" customWidth="1"/>
    <col min="4868" max="4868" width="18.7109375" style="528" bestFit="1" customWidth="1"/>
    <col min="4869" max="4869" width="1.42578125" style="528" customWidth="1"/>
    <col min="4870" max="4870" width="18.7109375" style="528" bestFit="1" customWidth="1"/>
    <col min="4871" max="4871" width="1.7109375" style="528" customWidth="1"/>
    <col min="4872" max="4872" width="18.7109375" style="528" bestFit="1" customWidth="1"/>
    <col min="4873" max="4873" width="2" style="528" customWidth="1"/>
    <col min="4874" max="4874" width="12.7109375" style="528" bestFit="1" customWidth="1"/>
    <col min="4875" max="5120" width="10.85546875" style="528"/>
    <col min="5121" max="5121" width="9.28515625" style="528" bestFit="1" customWidth="1"/>
    <col min="5122" max="5122" width="41.28515625" style="528" customWidth="1"/>
    <col min="5123" max="5123" width="1.42578125" style="528" customWidth="1"/>
    <col min="5124" max="5124" width="18.7109375" style="528" bestFit="1" customWidth="1"/>
    <col min="5125" max="5125" width="1.42578125" style="528" customWidth="1"/>
    <col min="5126" max="5126" width="18.7109375" style="528" bestFit="1" customWidth="1"/>
    <col min="5127" max="5127" width="1.7109375" style="528" customWidth="1"/>
    <col min="5128" max="5128" width="18.7109375" style="528" bestFit="1" customWidth="1"/>
    <col min="5129" max="5129" width="2" style="528" customWidth="1"/>
    <col min="5130" max="5130" width="12.7109375" style="528" bestFit="1" customWidth="1"/>
    <col min="5131" max="5376" width="10.85546875" style="528"/>
    <col min="5377" max="5377" width="9.28515625" style="528" bestFit="1" customWidth="1"/>
    <col min="5378" max="5378" width="41.28515625" style="528" customWidth="1"/>
    <col min="5379" max="5379" width="1.42578125" style="528" customWidth="1"/>
    <col min="5380" max="5380" width="18.7109375" style="528" bestFit="1" customWidth="1"/>
    <col min="5381" max="5381" width="1.42578125" style="528" customWidth="1"/>
    <col min="5382" max="5382" width="18.7109375" style="528" bestFit="1" customWidth="1"/>
    <col min="5383" max="5383" width="1.7109375" style="528" customWidth="1"/>
    <col min="5384" max="5384" width="18.7109375" style="528" bestFit="1" customWidth="1"/>
    <col min="5385" max="5385" width="2" style="528" customWidth="1"/>
    <col min="5386" max="5386" width="12.7109375" style="528" bestFit="1" customWidth="1"/>
    <col min="5387" max="5632" width="10.85546875" style="528"/>
    <col min="5633" max="5633" width="9.28515625" style="528" bestFit="1" customWidth="1"/>
    <col min="5634" max="5634" width="41.28515625" style="528" customWidth="1"/>
    <col min="5635" max="5635" width="1.42578125" style="528" customWidth="1"/>
    <col min="5636" max="5636" width="18.7109375" style="528" bestFit="1" customWidth="1"/>
    <col min="5637" max="5637" width="1.42578125" style="528" customWidth="1"/>
    <col min="5638" max="5638" width="18.7109375" style="528" bestFit="1" customWidth="1"/>
    <col min="5639" max="5639" width="1.7109375" style="528" customWidth="1"/>
    <col min="5640" max="5640" width="18.7109375" style="528" bestFit="1" customWidth="1"/>
    <col min="5641" max="5641" width="2" style="528" customWidth="1"/>
    <col min="5642" max="5642" width="12.7109375" style="528" bestFit="1" customWidth="1"/>
    <col min="5643" max="5888" width="10.85546875" style="528"/>
    <col min="5889" max="5889" width="9.28515625" style="528" bestFit="1" customWidth="1"/>
    <col min="5890" max="5890" width="41.28515625" style="528" customWidth="1"/>
    <col min="5891" max="5891" width="1.42578125" style="528" customWidth="1"/>
    <col min="5892" max="5892" width="18.7109375" style="528" bestFit="1" customWidth="1"/>
    <col min="5893" max="5893" width="1.42578125" style="528" customWidth="1"/>
    <col min="5894" max="5894" width="18.7109375" style="528" bestFit="1" customWidth="1"/>
    <col min="5895" max="5895" width="1.7109375" style="528" customWidth="1"/>
    <col min="5896" max="5896" width="18.7109375" style="528" bestFit="1" customWidth="1"/>
    <col min="5897" max="5897" width="2" style="528" customWidth="1"/>
    <col min="5898" max="5898" width="12.7109375" style="528" bestFit="1" customWidth="1"/>
    <col min="5899" max="6144" width="10.85546875" style="528"/>
    <col min="6145" max="6145" width="9.28515625" style="528" bestFit="1" customWidth="1"/>
    <col min="6146" max="6146" width="41.28515625" style="528" customWidth="1"/>
    <col min="6147" max="6147" width="1.42578125" style="528" customWidth="1"/>
    <col min="6148" max="6148" width="18.7109375" style="528" bestFit="1" customWidth="1"/>
    <col min="6149" max="6149" width="1.42578125" style="528" customWidth="1"/>
    <col min="6150" max="6150" width="18.7109375" style="528" bestFit="1" customWidth="1"/>
    <col min="6151" max="6151" width="1.7109375" style="528" customWidth="1"/>
    <col min="6152" max="6152" width="18.7109375" style="528" bestFit="1" customWidth="1"/>
    <col min="6153" max="6153" width="2" style="528" customWidth="1"/>
    <col min="6154" max="6154" width="12.7109375" style="528" bestFit="1" customWidth="1"/>
    <col min="6155" max="6400" width="10.85546875" style="528"/>
    <col min="6401" max="6401" width="9.28515625" style="528" bestFit="1" customWidth="1"/>
    <col min="6402" max="6402" width="41.28515625" style="528" customWidth="1"/>
    <col min="6403" max="6403" width="1.42578125" style="528" customWidth="1"/>
    <col min="6404" max="6404" width="18.7109375" style="528" bestFit="1" customWidth="1"/>
    <col min="6405" max="6405" width="1.42578125" style="528" customWidth="1"/>
    <col min="6406" max="6406" width="18.7109375" style="528" bestFit="1" customWidth="1"/>
    <col min="6407" max="6407" width="1.7109375" style="528" customWidth="1"/>
    <col min="6408" max="6408" width="18.7109375" style="528" bestFit="1" customWidth="1"/>
    <col min="6409" max="6409" width="2" style="528" customWidth="1"/>
    <col min="6410" max="6410" width="12.7109375" style="528" bestFit="1" customWidth="1"/>
    <col min="6411" max="6656" width="10.85546875" style="528"/>
    <col min="6657" max="6657" width="9.28515625" style="528" bestFit="1" customWidth="1"/>
    <col min="6658" max="6658" width="41.28515625" style="528" customWidth="1"/>
    <col min="6659" max="6659" width="1.42578125" style="528" customWidth="1"/>
    <col min="6660" max="6660" width="18.7109375" style="528" bestFit="1" customWidth="1"/>
    <col min="6661" max="6661" width="1.42578125" style="528" customWidth="1"/>
    <col min="6662" max="6662" width="18.7109375" style="528" bestFit="1" customWidth="1"/>
    <col min="6663" max="6663" width="1.7109375" style="528" customWidth="1"/>
    <col min="6664" max="6664" width="18.7109375" style="528" bestFit="1" customWidth="1"/>
    <col min="6665" max="6665" width="2" style="528" customWidth="1"/>
    <col min="6666" max="6666" width="12.7109375" style="528" bestFit="1" customWidth="1"/>
    <col min="6667" max="6912" width="10.85546875" style="528"/>
    <col min="6913" max="6913" width="9.28515625" style="528" bestFit="1" customWidth="1"/>
    <col min="6914" max="6914" width="41.28515625" style="528" customWidth="1"/>
    <col min="6915" max="6915" width="1.42578125" style="528" customWidth="1"/>
    <col min="6916" max="6916" width="18.7109375" style="528" bestFit="1" customWidth="1"/>
    <col min="6917" max="6917" width="1.42578125" style="528" customWidth="1"/>
    <col min="6918" max="6918" width="18.7109375" style="528" bestFit="1" customWidth="1"/>
    <col min="6919" max="6919" width="1.7109375" style="528" customWidth="1"/>
    <col min="6920" max="6920" width="18.7109375" style="528" bestFit="1" customWidth="1"/>
    <col min="6921" max="6921" width="2" style="528" customWidth="1"/>
    <col min="6922" max="6922" width="12.7109375" style="528" bestFit="1" customWidth="1"/>
    <col min="6923" max="7168" width="10.85546875" style="528"/>
    <col min="7169" max="7169" width="9.28515625" style="528" bestFit="1" customWidth="1"/>
    <col min="7170" max="7170" width="41.28515625" style="528" customWidth="1"/>
    <col min="7171" max="7171" width="1.42578125" style="528" customWidth="1"/>
    <col min="7172" max="7172" width="18.7109375" style="528" bestFit="1" customWidth="1"/>
    <col min="7173" max="7173" width="1.42578125" style="528" customWidth="1"/>
    <col min="7174" max="7174" width="18.7109375" style="528" bestFit="1" customWidth="1"/>
    <col min="7175" max="7175" width="1.7109375" style="528" customWidth="1"/>
    <col min="7176" max="7176" width="18.7109375" style="528" bestFit="1" customWidth="1"/>
    <col min="7177" max="7177" width="2" style="528" customWidth="1"/>
    <col min="7178" max="7178" width="12.7109375" style="528" bestFit="1" customWidth="1"/>
    <col min="7179" max="7424" width="10.85546875" style="528"/>
    <col min="7425" max="7425" width="9.28515625" style="528" bestFit="1" customWidth="1"/>
    <col min="7426" max="7426" width="41.28515625" style="528" customWidth="1"/>
    <col min="7427" max="7427" width="1.42578125" style="528" customWidth="1"/>
    <col min="7428" max="7428" width="18.7109375" style="528" bestFit="1" customWidth="1"/>
    <col min="7429" max="7429" width="1.42578125" style="528" customWidth="1"/>
    <col min="7430" max="7430" width="18.7109375" style="528" bestFit="1" customWidth="1"/>
    <col min="7431" max="7431" width="1.7109375" style="528" customWidth="1"/>
    <col min="7432" max="7432" width="18.7109375" style="528" bestFit="1" customWidth="1"/>
    <col min="7433" max="7433" width="2" style="528" customWidth="1"/>
    <col min="7434" max="7434" width="12.7109375" style="528" bestFit="1" customWidth="1"/>
    <col min="7435" max="7680" width="10.85546875" style="528"/>
    <col min="7681" max="7681" width="9.28515625" style="528" bestFit="1" customWidth="1"/>
    <col min="7682" max="7682" width="41.28515625" style="528" customWidth="1"/>
    <col min="7683" max="7683" width="1.42578125" style="528" customWidth="1"/>
    <col min="7684" max="7684" width="18.7109375" style="528" bestFit="1" customWidth="1"/>
    <col min="7685" max="7685" width="1.42578125" style="528" customWidth="1"/>
    <col min="7686" max="7686" width="18.7109375" style="528" bestFit="1" customWidth="1"/>
    <col min="7687" max="7687" width="1.7109375" style="528" customWidth="1"/>
    <col min="7688" max="7688" width="18.7109375" style="528" bestFit="1" customWidth="1"/>
    <col min="7689" max="7689" width="2" style="528" customWidth="1"/>
    <col min="7690" max="7690" width="12.7109375" style="528" bestFit="1" customWidth="1"/>
    <col min="7691" max="7936" width="10.85546875" style="528"/>
    <col min="7937" max="7937" width="9.28515625" style="528" bestFit="1" customWidth="1"/>
    <col min="7938" max="7938" width="41.28515625" style="528" customWidth="1"/>
    <col min="7939" max="7939" width="1.42578125" style="528" customWidth="1"/>
    <col min="7940" max="7940" width="18.7109375" style="528" bestFit="1" customWidth="1"/>
    <col min="7941" max="7941" width="1.42578125" style="528" customWidth="1"/>
    <col min="7942" max="7942" width="18.7109375" style="528" bestFit="1" customWidth="1"/>
    <col min="7943" max="7943" width="1.7109375" style="528" customWidth="1"/>
    <col min="7944" max="7944" width="18.7109375" style="528" bestFit="1" customWidth="1"/>
    <col min="7945" max="7945" width="2" style="528" customWidth="1"/>
    <col min="7946" max="7946" width="12.7109375" style="528" bestFit="1" customWidth="1"/>
    <col min="7947" max="8192" width="10.85546875" style="528"/>
    <col min="8193" max="8193" width="9.28515625" style="528" bestFit="1" customWidth="1"/>
    <col min="8194" max="8194" width="41.28515625" style="528" customWidth="1"/>
    <col min="8195" max="8195" width="1.42578125" style="528" customWidth="1"/>
    <col min="8196" max="8196" width="18.7109375" style="528" bestFit="1" customWidth="1"/>
    <col min="8197" max="8197" width="1.42578125" style="528" customWidth="1"/>
    <col min="8198" max="8198" width="18.7109375" style="528" bestFit="1" customWidth="1"/>
    <col min="8199" max="8199" width="1.7109375" style="528" customWidth="1"/>
    <col min="8200" max="8200" width="18.7109375" style="528" bestFit="1" customWidth="1"/>
    <col min="8201" max="8201" width="2" style="528" customWidth="1"/>
    <col min="8202" max="8202" width="12.7109375" style="528" bestFit="1" customWidth="1"/>
    <col min="8203" max="8448" width="10.85546875" style="528"/>
    <col min="8449" max="8449" width="9.28515625" style="528" bestFit="1" customWidth="1"/>
    <col min="8450" max="8450" width="41.28515625" style="528" customWidth="1"/>
    <col min="8451" max="8451" width="1.42578125" style="528" customWidth="1"/>
    <col min="8452" max="8452" width="18.7109375" style="528" bestFit="1" customWidth="1"/>
    <col min="8453" max="8453" width="1.42578125" style="528" customWidth="1"/>
    <col min="8454" max="8454" width="18.7109375" style="528" bestFit="1" customWidth="1"/>
    <col min="8455" max="8455" width="1.7109375" style="528" customWidth="1"/>
    <col min="8456" max="8456" width="18.7109375" style="528" bestFit="1" customWidth="1"/>
    <col min="8457" max="8457" width="2" style="528" customWidth="1"/>
    <col min="8458" max="8458" width="12.7109375" style="528" bestFit="1" customWidth="1"/>
    <col min="8459" max="8704" width="10.85546875" style="528"/>
    <col min="8705" max="8705" width="9.28515625" style="528" bestFit="1" customWidth="1"/>
    <col min="8706" max="8706" width="41.28515625" style="528" customWidth="1"/>
    <col min="8707" max="8707" width="1.42578125" style="528" customWidth="1"/>
    <col min="8708" max="8708" width="18.7109375" style="528" bestFit="1" customWidth="1"/>
    <col min="8709" max="8709" width="1.42578125" style="528" customWidth="1"/>
    <col min="8710" max="8710" width="18.7109375" style="528" bestFit="1" customWidth="1"/>
    <col min="8711" max="8711" width="1.7109375" style="528" customWidth="1"/>
    <col min="8712" max="8712" width="18.7109375" style="528" bestFit="1" customWidth="1"/>
    <col min="8713" max="8713" width="2" style="528" customWidth="1"/>
    <col min="8714" max="8714" width="12.7109375" style="528" bestFit="1" customWidth="1"/>
    <col min="8715" max="8960" width="10.85546875" style="528"/>
    <col min="8961" max="8961" width="9.28515625" style="528" bestFit="1" customWidth="1"/>
    <col min="8962" max="8962" width="41.28515625" style="528" customWidth="1"/>
    <col min="8963" max="8963" width="1.42578125" style="528" customWidth="1"/>
    <col min="8964" max="8964" width="18.7109375" style="528" bestFit="1" customWidth="1"/>
    <col min="8965" max="8965" width="1.42578125" style="528" customWidth="1"/>
    <col min="8966" max="8966" width="18.7109375" style="528" bestFit="1" customWidth="1"/>
    <col min="8967" max="8967" width="1.7109375" style="528" customWidth="1"/>
    <col min="8968" max="8968" width="18.7109375" style="528" bestFit="1" customWidth="1"/>
    <col min="8969" max="8969" width="2" style="528" customWidth="1"/>
    <col min="8970" max="8970" width="12.7109375" style="528" bestFit="1" customWidth="1"/>
    <col min="8971" max="9216" width="10.85546875" style="528"/>
    <col min="9217" max="9217" width="9.28515625" style="528" bestFit="1" customWidth="1"/>
    <col min="9218" max="9218" width="41.28515625" style="528" customWidth="1"/>
    <col min="9219" max="9219" width="1.42578125" style="528" customWidth="1"/>
    <col min="9220" max="9220" width="18.7109375" style="528" bestFit="1" customWidth="1"/>
    <col min="9221" max="9221" width="1.42578125" style="528" customWidth="1"/>
    <col min="9222" max="9222" width="18.7109375" style="528" bestFit="1" customWidth="1"/>
    <col min="9223" max="9223" width="1.7109375" style="528" customWidth="1"/>
    <col min="9224" max="9224" width="18.7109375" style="528" bestFit="1" customWidth="1"/>
    <col min="9225" max="9225" width="2" style="528" customWidth="1"/>
    <col min="9226" max="9226" width="12.7109375" style="528" bestFit="1" customWidth="1"/>
    <col min="9227" max="9472" width="10.85546875" style="528"/>
    <col min="9473" max="9473" width="9.28515625" style="528" bestFit="1" customWidth="1"/>
    <col min="9474" max="9474" width="41.28515625" style="528" customWidth="1"/>
    <col min="9475" max="9475" width="1.42578125" style="528" customWidth="1"/>
    <col min="9476" max="9476" width="18.7109375" style="528" bestFit="1" customWidth="1"/>
    <col min="9477" max="9477" width="1.42578125" style="528" customWidth="1"/>
    <col min="9478" max="9478" width="18.7109375" style="528" bestFit="1" customWidth="1"/>
    <col min="9479" max="9479" width="1.7109375" style="528" customWidth="1"/>
    <col min="9480" max="9480" width="18.7109375" style="528" bestFit="1" customWidth="1"/>
    <col min="9481" max="9481" width="2" style="528" customWidth="1"/>
    <col min="9482" max="9482" width="12.7109375" style="528" bestFit="1" customWidth="1"/>
    <col min="9483" max="9728" width="10.85546875" style="528"/>
    <col min="9729" max="9729" width="9.28515625" style="528" bestFit="1" customWidth="1"/>
    <col min="9730" max="9730" width="41.28515625" style="528" customWidth="1"/>
    <col min="9731" max="9731" width="1.42578125" style="528" customWidth="1"/>
    <col min="9732" max="9732" width="18.7109375" style="528" bestFit="1" customWidth="1"/>
    <col min="9733" max="9733" width="1.42578125" style="528" customWidth="1"/>
    <col min="9734" max="9734" width="18.7109375" style="528" bestFit="1" customWidth="1"/>
    <col min="9735" max="9735" width="1.7109375" style="528" customWidth="1"/>
    <col min="9736" max="9736" width="18.7109375" style="528" bestFit="1" customWidth="1"/>
    <col min="9737" max="9737" width="2" style="528" customWidth="1"/>
    <col min="9738" max="9738" width="12.7109375" style="528" bestFit="1" customWidth="1"/>
    <col min="9739" max="9984" width="10.85546875" style="528"/>
    <col min="9985" max="9985" width="9.28515625" style="528" bestFit="1" customWidth="1"/>
    <col min="9986" max="9986" width="41.28515625" style="528" customWidth="1"/>
    <col min="9987" max="9987" width="1.42578125" style="528" customWidth="1"/>
    <col min="9988" max="9988" width="18.7109375" style="528" bestFit="1" customWidth="1"/>
    <col min="9989" max="9989" width="1.42578125" style="528" customWidth="1"/>
    <col min="9990" max="9990" width="18.7109375" style="528" bestFit="1" customWidth="1"/>
    <col min="9991" max="9991" width="1.7109375" style="528" customWidth="1"/>
    <col min="9992" max="9992" width="18.7109375" style="528" bestFit="1" customWidth="1"/>
    <col min="9993" max="9993" width="2" style="528" customWidth="1"/>
    <col min="9994" max="9994" width="12.7109375" style="528" bestFit="1" customWidth="1"/>
    <col min="9995" max="10240" width="10.85546875" style="528"/>
    <col min="10241" max="10241" width="9.28515625" style="528" bestFit="1" customWidth="1"/>
    <col min="10242" max="10242" width="41.28515625" style="528" customWidth="1"/>
    <col min="10243" max="10243" width="1.42578125" style="528" customWidth="1"/>
    <col min="10244" max="10244" width="18.7109375" style="528" bestFit="1" customWidth="1"/>
    <col min="10245" max="10245" width="1.42578125" style="528" customWidth="1"/>
    <col min="10246" max="10246" width="18.7109375" style="528" bestFit="1" customWidth="1"/>
    <col min="10247" max="10247" width="1.7109375" style="528" customWidth="1"/>
    <col min="10248" max="10248" width="18.7109375" style="528" bestFit="1" customWidth="1"/>
    <col min="10249" max="10249" width="2" style="528" customWidth="1"/>
    <col min="10250" max="10250" width="12.7109375" style="528" bestFit="1" customWidth="1"/>
    <col min="10251" max="10496" width="10.85546875" style="528"/>
    <col min="10497" max="10497" width="9.28515625" style="528" bestFit="1" customWidth="1"/>
    <col min="10498" max="10498" width="41.28515625" style="528" customWidth="1"/>
    <col min="10499" max="10499" width="1.42578125" style="528" customWidth="1"/>
    <col min="10500" max="10500" width="18.7109375" style="528" bestFit="1" customWidth="1"/>
    <col min="10501" max="10501" width="1.42578125" style="528" customWidth="1"/>
    <col min="10502" max="10502" width="18.7109375" style="528" bestFit="1" customWidth="1"/>
    <col min="10503" max="10503" width="1.7109375" style="528" customWidth="1"/>
    <col min="10504" max="10504" width="18.7109375" style="528" bestFit="1" customWidth="1"/>
    <col min="10505" max="10505" width="2" style="528" customWidth="1"/>
    <col min="10506" max="10506" width="12.7109375" style="528" bestFit="1" customWidth="1"/>
    <col min="10507" max="10752" width="10.85546875" style="528"/>
    <col min="10753" max="10753" width="9.28515625" style="528" bestFit="1" customWidth="1"/>
    <col min="10754" max="10754" width="41.28515625" style="528" customWidth="1"/>
    <col min="10755" max="10755" width="1.42578125" style="528" customWidth="1"/>
    <col min="10756" max="10756" width="18.7109375" style="528" bestFit="1" customWidth="1"/>
    <col min="10757" max="10757" width="1.42578125" style="528" customWidth="1"/>
    <col min="10758" max="10758" width="18.7109375" style="528" bestFit="1" customWidth="1"/>
    <col min="10759" max="10759" width="1.7109375" style="528" customWidth="1"/>
    <col min="10760" max="10760" width="18.7109375" style="528" bestFit="1" customWidth="1"/>
    <col min="10761" max="10761" width="2" style="528" customWidth="1"/>
    <col min="10762" max="10762" width="12.7109375" style="528" bestFit="1" customWidth="1"/>
    <col min="10763" max="11008" width="10.85546875" style="528"/>
    <col min="11009" max="11009" width="9.28515625" style="528" bestFit="1" customWidth="1"/>
    <col min="11010" max="11010" width="41.28515625" style="528" customWidth="1"/>
    <col min="11011" max="11011" width="1.42578125" style="528" customWidth="1"/>
    <col min="11012" max="11012" width="18.7109375" style="528" bestFit="1" customWidth="1"/>
    <col min="11013" max="11013" width="1.42578125" style="528" customWidth="1"/>
    <col min="11014" max="11014" width="18.7109375" style="528" bestFit="1" customWidth="1"/>
    <col min="11015" max="11015" width="1.7109375" style="528" customWidth="1"/>
    <col min="11016" max="11016" width="18.7109375" style="528" bestFit="1" customWidth="1"/>
    <col min="11017" max="11017" width="2" style="528" customWidth="1"/>
    <col min="11018" max="11018" width="12.7109375" style="528" bestFit="1" customWidth="1"/>
    <col min="11019" max="11264" width="10.85546875" style="528"/>
    <col min="11265" max="11265" width="9.28515625" style="528" bestFit="1" customWidth="1"/>
    <col min="11266" max="11266" width="41.28515625" style="528" customWidth="1"/>
    <col min="11267" max="11267" width="1.42578125" style="528" customWidth="1"/>
    <col min="11268" max="11268" width="18.7109375" style="528" bestFit="1" customWidth="1"/>
    <col min="11269" max="11269" width="1.42578125" style="528" customWidth="1"/>
    <col min="11270" max="11270" width="18.7109375" style="528" bestFit="1" customWidth="1"/>
    <col min="11271" max="11271" width="1.7109375" style="528" customWidth="1"/>
    <col min="11272" max="11272" width="18.7109375" style="528" bestFit="1" customWidth="1"/>
    <col min="11273" max="11273" width="2" style="528" customWidth="1"/>
    <col min="11274" max="11274" width="12.7109375" style="528" bestFit="1" customWidth="1"/>
    <col min="11275" max="11520" width="10.85546875" style="528"/>
    <col min="11521" max="11521" width="9.28515625" style="528" bestFit="1" customWidth="1"/>
    <col min="11522" max="11522" width="41.28515625" style="528" customWidth="1"/>
    <col min="11523" max="11523" width="1.42578125" style="528" customWidth="1"/>
    <col min="11524" max="11524" width="18.7109375" style="528" bestFit="1" customWidth="1"/>
    <col min="11525" max="11525" width="1.42578125" style="528" customWidth="1"/>
    <col min="11526" max="11526" width="18.7109375" style="528" bestFit="1" customWidth="1"/>
    <col min="11527" max="11527" width="1.7109375" style="528" customWidth="1"/>
    <col min="11528" max="11528" width="18.7109375" style="528" bestFit="1" customWidth="1"/>
    <col min="11529" max="11529" width="2" style="528" customWidth="1"/>
    <col min="11530" max="11530" width="12.7109375" style="528" bestFit="1" customWidth="1"/>
    <col min="11531" max="11776" width="10.85546875" style="528"/>
    <col min="11777" max="11777" width="9.28515625" style="528" bestFit="1" customWidth="1"/>
    <col min="11778" max="11778" width="41.28515625" style="528" customWidth="1"/>
    <col min="11779" max="11779" width="1.42578125" style="528" customWidth="1"/>
    <col min="11780" max="11780" width="18.7109375" style="528" bestFit="1" customWidth="1"/>
    <col min="11781" max="11781" width="1.42578125" style="528" customWidth="1"/>
    <col min="11782" max="11782" width="18.7109375" style="528" bestFit="1" customWidth="1"/>
    <col min="11783" max="11783" width="1.7109375" style="528" customWidth="1"/>
    <col min="11784" max="11784" width="18.7109375" style="528" bestFit="1" customWidth="1"/>
    <col min="11785" max="11785" width="2" style="528" customWidth="1"/>
    <col min="11786" max="11786" width="12.7109375" style="528" bestFit="1" customWidth="1"/>
    <col min="11787" max="12032" width="10.85546875" style="528"/>
    <col min="12033" max="12033" width="9.28515625" style="528" bestFit="1" customWidth="1"/>
    <col min="12034" max="12034" width="41.28515625" style="528" customWidth="1"/>
    <col min="12035" max="12035" width="1.42578125" style="528" customWidth="1"/>
    <col min="12036" max="12036" width="18.7109375" style="528" bestFit="1" customWidth="1"/>
    <col min="12037" max="12037" width="1.42578125" style="528" customWidth="1"/>
    <col min="12038" max="12038" width="18.7109375" style="528" bestFit="1" customWidth="1"/>
    <col min="12039" max="12039" width="1.7109375" style="528" customWidth="1"/>
    <col min="12040" max="12040" width="18.7109375" style="528" bestFit="1" customWidth="1"/>
    <col min="12041" max="12041" width="2" style="528" customWidth="1"/>
    <col min="12042" max="12042" width="12.7109375" style="528" bestFit="1" customWidth="1"/>
    <col min="12043" max="12288" width="10.85546875" style="528"/>
    <col min="12289" max="12289" width="9.28515625" style="528" bestFit="1" customWidth="1"/>
    <col min="12290" max="12290" width="41.28515625" style="528" customWidth="1"/>
    <col min="12291" max="12291" width="1.42578125" style="528" customWidth="1"/>
    <col min="12292" max="12292" width="18.7109375" style="528" bestFit="1" customWidth="1"/>
    <col min="12293" max="12293" width="1.42578125" style="528" customWidth="1"/>
    <col min="12294" max="12294" width="18.7109375" style="528" bestFit="1" customWidth="1"/>
    <col min="12295" max="12295" width="1.7109375" style="528" customWidth="1"/>
    <col min="12296" max="12296" width="18.7109375" style="528" bestFit="1" customWidth="1"/>
    <col min="12297" max="12297" width="2" style="528" customWidth="1"/>
    <col min="12298" max="12298" width="12.7109375" style="528" bestFit="1" customWidth="1"/>
    <col min="12299" max="12544" width="10.85546875" style="528"/>
    <col min="12545" max="12545" width="9.28515625" style="528" bestFit="1" customWidth="1"/>
    <col min="12546" max="12546" width="41.28515625" style="528" customWidth="1"/>
    <col min="12547" max="12547" width="1.42578125" style="528" customWidth="1"/>
    <col min="12548" max="12548" width="18.7109375" style="528" bestFit="1" customWidth="1"/>
    <col min="12549" max="12549" width="1.42578125" style="528" customWidth="1"/>
    <col min="12550" max="12550" width="18.7109375" style="528" bestFit="1" customWidth="1"/>
    <col min="12551" max="12551" width="1.7109375" style="528" customWidth="1"/>
    <col min="12552" max="12552" width="18.7109375" style="528" bestFit="1" customWidth="1"/>
    <col min="12553" max="12553" width="2" style="528" customWidth="1"/>
    <col min="12554" max="12554" width="12.7109375" style="528" bestFit="1" customWidth="1"/>
    <col min="12555" max="12800" width="10.85546875" style="528"/>
    <col min="12801" max="12801" width="9.28515625" style="528" bestFit="1" customWidth="1"/>
    <col min="12802" max="12802" width="41.28515625" style="528" customWidth="1"/>
    <col min="12803" max="12803" width="1.42578125" style="528" customWidth="1"/>
    <col min="12804" max="12804" width="18.7109375" style="528" bestFit="1" customWidth="1"/>
    <col min="12805" max="12805" width="1.42578125" style="528" customWidth="1"/>
    <col min="12806" max="12806" width="18.7109375" style="528" bestFit="1" customWidth="1"/>
    <col min="12807" max="12807" width="1.7109375" style="528" customWidth="1"/>
    <col min="12808" max="12808" width="18.7109375" style="528" bestFit="1" customWidth="1"/>
    <col min="12809" max="12809" width="2" style="528" customWidth="1"/>
    <col min="12810" max="12810" width="12.7109375" style="528" bestFit="1" customWidth="1"/>
    <col min="12811" max="13056" width="10.85546875" style="528"/>
    <col min="13057" max="13057" width="9.28515625" style="528" bestFit="1" customWidth="1"/>
    <col min="13058" max="13058" width="41.28515625" style="528" customWidth="1"/>
    <col min="13059" max="13059" width="1.42578125" style="528" customWidth="1"/>
    <col min="13060" max="13060" width="18.7109375" style="528" bestFit="1" customWidth="1"/>
    <col min="13061" max="13061" width="1.42578125" style="528" customWidth="1"/>
    <col min="13062" max="13062" width="18.7109375" style="528" bestFit="1" customWidth="1"/>
    <col min="13063" max="13063" width="1.7109375" style="528" customWidth="1"/>
    <col min="13064" max="13064" width="18.7109375" style="528" bestFit="1" customWidth="1"/>
    <col min="13065" max="13065" width="2" style="528" customWidth="1"/>
    <col min="13066" max="13066" width="12.7109375" style="528" bestFit="1" customWidth="1"/>
    <col min="13067" max="13312" width="10.85546875" style="528"/>
    <col min="13313" max="13313" width="9.28515625" style="528" bestFit="1" customWidth="1"/>
    <col min="13314" max="13314" width="41.28515625" style="528" customWidth="1"/>
    <col min="13315" max="13315" width="1.42578125" style="528" customWidth="1"/>
    <col min="13316" max="13316" width="18.7109375" style="528" bestFit="1" customWidth="1"/>
    <col min="13317" max="13317" width="1.42578125" style="528" customWidth="1"/>
    <col min="13318" max="13318" width="18.7109375" style="528" bestFit="1" customWidth="1"/>
    <col min="13319" max="13319" width="1.7109375" style="528" customWidth="1"/>
    <col min="13320" max="13320" width="18.7109375" style="528" bestFit="1" customWidth="1"/>
    <col min="13321" max="13321" width="2" style="528" customWidth="1"/>
    <col min="13322" max="13322" width="12.7109375" style="528" bestFit="1" customWidth="1"/>
    <col min="13323" max="13568" width="10.85546875" style="528"/>
    <col min="13569" max="13569" width="9.28515625" style="528" bestFit="1" customWidth="1"/>
    <col min="13570" max="13570" width="41.28515625" style="528" customWidth="1"/>
    <col min="13571" max="13571" width="1.42578125" style="528" customWidth="1"/>
    <col min="13572" max="13572" width="18.7109375" style="528" bestFit="1" customWidth="1"/>
    <col min="13573" max="13573" width="1.42578125" style="528" customWidth="1"/>
    <col min="13574" max="13574" width="18.7109375" style="528" bestFit="1" customWidth="1"/>
    <col min="13575" max="13575" width="1.7109375" style="528" customWidth="1"/>
    <col min="13576" max="13576" width="18.7109375" style="528" bestFit="1" customWidth="1"/>
    <col min="13577" max="13577" width="2" style="528" customWidth="1"/>
    <col min="13578" max="13578" width="12.7109375" style="528" bestFit="1" customWidth="1"/>
    <col min="13579" max="13824" width="10.85546875" style="528"/>
    <col min="13825" max="13825" width="9.28515625" style="528" bestFit="1" customWidth="1"/>
    <col min="13826" max="13826" width="41.28515625" style="528" customWidth="1"/>
    <col min="13827" max="13827" width="1.42578125" style="528" customWidth="1"/>
    <col min="13828" max="13828" width="18.7109375" style="528" bestFit="1" customWidth="1"/>
    <col min="13829" max="13829" width="1.42578125" style="528" customWidth="1"/>
    <col min="13830" max="13830" width="18.7109375" style="528" bestFit="1" customWidth="1"/>
    <col min="13831" max="13831" width="1.7109375" style="528" customWidth="1"/>
    <col min="13832" max="13832" width="18.7109375" style="528" bestFit="1" customWidth="1"/>
    <col min="13833" max="13833" width="2" style="528" customWidth="1"/>
    <col min="13834" max="13834" width="12.7109375" style="528" bestFit="1" customWidth="1"/>
    <col min="13835" max="14080" width="10.85546875" style="528"/>
    <col min="14081" max="14081" width="9.28515625" style="528" bestFit="1" customWidth="1"/>
    <col min="14082" max="14082" width="41.28515625" style="528" customWidth="1"/>
    <col min="14083" max="14083" width="1.42578125" style="528" customWidth="1"/>
    <col min="14084" max="14084" width="18.7109375" style="528" bestFit="1" customWidth="1"/>
    <col min="14085" max="14085" width="1.42578125" style="528" customWidth="1"/>
    <col min="14086" max="14086" width="18.7109375" style="528" bestFit="1" customWidth="1"/>
    <col min="14087" max="14087" width="1.7109375" style="528" customWidth="1"/>
    <col min="14088" max="14088" width="18.7109375" style="528" bestFit="1" customWidth="1"/>
    <col min="14089" max="14089" width="2" style="528" customWidth="1"/>
    <col min="14090" max="14090" width="12.7109375" style="528" bestFit="1" customWidth="1"/>
    <col min="14091" max="14336" width="10.85546875" style="528"/>
    <col min="14337" max="14337" width="9.28515625" style="528" bestFit="1" customWidth="1"/>
    <col min="14338" max="14338" width="41.28515625" style="528" customWidth="1"/>
    <col min="14339" max="14339" width="1.42578125" style="528" customWidth="1"/>
    <col min="14340" max="14340" width="18.7109375" style="528" bestFit="1" customWidth="1"/>
    <col min="14341" max="14341" width="1.42578125" style="528" customWidth="1"/>
    <col min="14342" max="14342" width="18.7109375" style="528" bestFit="1" customWidth="1"/>
    <col min="14343" max="14343" width="1.7109375" style="528" customWidth="1"/>
    <col min="14344" max="14344" width="18.7109375" style="528" bestFit="1" customWidth="1"/>
    <col min="14345" max="14345" width="2" style="528" customWidth="1"/>
    <col min="14346" max="14346" width="12.7109375" style="528" bestFit="1" customWidth="1"/>
    <col min="14347" max="14592" width="10.85546875" style="528"/>
    <col min="14593" max="14593" width="9.28515625" style="528" bestFit="1" customWidth="1"/>
    <col min="14594" max="14594" width="41.28515625" style="528" customWidth="1"/>
    <col min="14595" max="14595" width="1.42578125" style="528" customWidth="1"/>
    <col min="14596" max="14596" width="18.7109375" style="528" bestFit="1" customWidth="1"/>
    <col min="14597" max="14597" width="1.42578125" style="528" customWidth="1"/>
    <col min="14598" max="14598" width="18.7109375" style="528" bestFit="1" customWidth="1"/>
    <col min="14599" max="14599" width="1.7109375" style="528" customWidth="1"/>
    <col min="14600" max="14600" width="18.7109375" style="528" bestFit="1" customWidth="1"/>
    <col min="14601" max="14601" width="2" style="528" customWidth="1"/>
    <col min="14602" max="14602" width="12.7109375" style="528" bestFit="1" customWidth="1"/>
    <col min="14603" max="14848" width="10.85546875" style="528"/>
    <col min="14849" max="14849" width="9.28515625" style="528" bestFit="1" customWidth="1"/>
    <col min="14850" max="14850" width="41.28515625" style="528" customWidth="1"/>
    <col min="14851" max="14851" width="1.42578125" style="528" customWidth="1"/>
    <col min="14852" max="14852" width="18.7109375" style="528" bestFit="1" customWidth="1"/>
    <col min="14853" max="14853" width="1.42578125" style="528" customWidth="1"/>
    <col min="14854" max="14854" width="18.7109375" style="528" bestFit="1" customWidth="1"/>
    <col min="14855" max="14855" width="1.7109375" style="528" customWidth="1"/>
    <col min="14856" max="14856" width="18.7109375" style="528" bestFit="1" customWidth="1"/>
    <col min="14857" max="14857" width="2" style="528" customWidth="1"/>
    <col min="14858" max="14858" width="12.7109375" style="528" bestFit="1" customWidth="1"/>
    <col min="14859" max="15104" width="10.85546875" style="528"/>
    <col min="15105" max="15105" width="9.28515625" style="528" bestFit="1" customWidth="1"/>
    <col min="15106" max="15106" width="41.28515625" style="528" customWidth="1"/>
    <col min="15107" max="15107" width="1.42578125" style="528" customWidth="1"/>
    <col min="15108" max="15108" width="18.7109375" style="528" bestFit="1" customWidth="1"/>
    <col min="15109" max="15109" width="1.42578125" style="528" customWidth="1"/>
    <col min="15110" max="15110" width="18.7109375" style="528" bestFit="1" customWidth="1"/>
    <col min="15111" max="15111" width="1.7109375" style="528" customWidth="1"/>
    <col min="15112" max="15112" width="18.7109375" style="528" bestFit="1" customWidth="1"/>
    <col min="15113" max="15113" width="2" style="528" customWidth="1"/>
    <col min="15114" max="15114" width="12.7109375" style="528" bestFit="1" customWidth="1"/>
    <col min="15115" max="15360" width="10.85546875" style="528"/>
    <col min="15361" max="15361" width="9.28515625" style="528" bestFit="1" customWidth="1"/>
    <col min="15362" max="15362" width="41.28515625" style="528" customWidth="1"/>
    <col min="15363" max="15363" width="1.42578125" style="528" customWidth="1"/>
    <col min="15364" max="15364" width="18.7109375" style="528" bestFit="1" customWidth="1"/>
    <col min="15365" max="15365" width="1.42578125" style="528" customWidth="1"/>
    <col min="15366" max="15366" width="18.7109375" style="528" bestFit="1" customWidth="1"/>
    <col min="15367" max="15367" width="1.7109375" style="528" customWidth="1"/>
    <col min="15368" max="15368" width="18.7109375" style="528" bestFit="1" customWidth="1"/>
    <col min="15369" max="15369" width="2" style="528" customWidth="1"/>
    <col min="15370" max="15370" width="12.7109375" style="528" bestFit="1" customWidth="1"/>
    <col min="15371" max="15616" width="10.85546875" style="528"/>
    <col min="15617" max="15617" width="9.28515625" style="528" bestFit="1" customWidth="1"/>
    <col min="15618" max="15618" width="41.28515625" style="528" customWidth="1"/>
    <col min="15619" max="15619" width="1.42578125" style="528" customWidth="1"/>
    <col min="15620" max="15620" width="18.7109375" style="528" bestFit="1" customWidth="1"/>
    <col min="15621" max="15621" width="1.42578125" style="528" customWidth="1"/>
    <col min="15622" max="15622" width="18.7109375" style="528" bestFit="1" customWidth="1"/>
    <col min="15623" max="15623" width="1.7109375" style="528" customWidth="1"/>
    <col min="15624" max="15624" width="18.7109375" style="528" bestFit="1" customWidth="1"/>
    <col min="15625" max="15625" width="2" style="528" customWidth="1"/>
    <col min="15626" max="15626" width="12.7109375" style="528" bestFit="1" customWidth="1"/>
    <col min="15627" max="15872" width="10.85546875" style="528"/>
    <col min="15873" max="15873" width="9.28515625" style="528" bestFit="1" customWidth="1"/>
    <col min="15874" max="15874" width="41.28515625" style="528" customWidth="1"/>
    <col min="15875" max="15875" width="1.42578125" style="528" customWidth="1"/>
    <col min="15876" max="15876" width="18.7109375" style="528" bestFit="1" customWidth="1"/>
    <col min="15877" max="15877" width="1.42578125" style="528" customWidth="1"/>
    <col min="15878" max="15878" width="18.7109375" style="528" bestFit="1" customWidth="1"/>
    <col min="15879" max="15879" width="1.7109375" style="528" customWidth="1"/>
    <col min="15880" max="15880" width="18.7109375" style="528" bestFit="1" customWidth="1"/>
    <col min="15881" max="15881" width="2" style="528" customWidth="1"/>
    <col min="15882" max="15882" width="12.7109375" style="528" bestFit="1" customWidth="1"/>
    <col min="15883" max="16128" width="10.85546875" style="528"/>
    <col min="16129" max="16129" width="9.28515625" style="528" bestFit="1" customWidth="1"/>
    <col min="16130" max="16130" width="41.28515625" style="528" customWidth="1"/>
    <col min="16131" max="16131" width="1.42578125" style="528" customWidth="1"/>
    <col min="16132" max="16132" width="18.7109375" style="528" bestFit="1" customWidth="1"/>
    <col min="16133" max="16133" width="1.42578125" style="528" customWidth="1"/>
    <col min="16134" max="16134" width="18.7109375" style="528" bestFit="1" customWidth="1"/>
    <col min="16135" max="16135" width="1.7109375" style="528" customWidth="1"/>
    <col min="16136" max="16136" width="18.7109375" style="528" bestFit="1" customWidth="1"/>
    <col min="16137" max="16137" width="2" style="528" customWidth="1"/>
    <col min="16138" max="16138" width="12.7109375" style="528" bestFit="1" customWidth="1"/>
    <col min="16139" max="16384" width="10.85546875" style="528"/>
  </cols>
  <sheetData>
    <row r="1" spans="1:10" ht="52.5" customHeight="1" x14ac:dyDescent="0.2">
      <c r="A1" s="1078" t="s">
        <v>4101</v>
      </c>
      <c r="B1" s="1078"/>
      <c r="C1" s="1078"/>
      <c r="D1" s="1078"/>
      <c r="E1" s="1078"/>
      <c r="F1" s="1078"/>
      <c r="G1" s="1078"/>
      <c r="H1" s="1078"/>
      <c r="I1" s="1078"/>
      <c r="J1" s="1078"/>
    </row>
    <row r="3" spans="1:10" x14ac:dyDescent="0.2">
      <c r="A3" s="1077" t="s">
        <v>85</v>
      </c>
      <c r="B3" s="1077"/>
      <c r="C3" s="525"/>
      <c r="D3" s="526"/>
      <c r="E3" s="526"/>
      <c r="F3" s="526"/>
      <c r="G3" s="526"/>
      <c r="H3" s="526"/>
      <c r="I3" s="526"/>
      <c r="J3" s="527"/>
    </row>
    <row r="4" spans="1:10" x14ac:dyDescent="0.2">
      <c r="A4" s="525"/>
      <c r="B4" s="525"/>
      <c r="C4" s="525"/>
      <c r="D4" s="526"/>
      <c r="E4" s="526"/>
      <c r="F4" s="526"/>
      <c r="G4" s="526"/>
      <c r="H4" s="526"/>
      <c r="I4" s="526"/>
      <c r="J4" s="527"/>
    </row>
    <row r="5" spans="1:10" x14ac:dyDescent="0.2">
      <c r="A5" s="525" t="s">
        <v>974</v>
      </c>
      <c r="B5" s="525" t="s">
        <v>2357</v>
      </c>
      <c r="C5" s="525"/>
      <c r="D5" s="526" t="s">
        <v>90</v>
      </c>
      <c r="E5" s="526"/>
      <c r="F5" s="526" t="s">
        <v>91</v>
      </c>
      <c r="G5" s="526"/>
      <c r="H5" s="526" t="s">
        <v>92</v>
      </c>
      <c r="I5" s="526"/>
      <c r="J5" s="527" t="s">
        <v>3453</v>
      </c>
    </row>
    <row r="6" spans="1:10" x14ac:dyDescent="0.2">
      <c r="A6" s="529"/>
      <c r="B6" s="530"/>
      <c r="C6" s="530"/>
      <c r="D6" s="531"/>
      <c r="E6" s="531"/>
      <c r="F6" s="531"/>
      <c r="G6" s="531"/>
      <c r="H6" s="531"/>
      <c r="I6" s="531"/>
      <c r="J6" s="532"/>
    </row>
    <row r="7" spans="1:10" x14ac:dyDescent="0.2">
      <c r="A7" s="525">
        <v>1</v>
      </c>
      <c r="B7" s="533" t="s">
        <v>3454</v>
      </c>
      <c r="C7" s="534"/>
      <c r="D7" s="535">
        <f>SUM(D9:D20)</f>
        <v>298464205935</v>
      </c>
      <c r="E7" s="535"/>
      <c r="F7" s="535">
        <f>SUM(F9:F20)</f>
        <v>195413307347.89001</v>
      </c>
      <c r="G7" s="535"/>
      <c r="H7" s="535">
        <f>SUM(H9:H20)</f>
        <v>103050898587.11002</v>
      </c>
      <c r="I7" s="535"/>
      <c r="J7" s="536">
        <f>F7/D7</f>
        <v>0.65472945653807291</v>
      </c>
    </row>
    <row r="8" spans="1:10" x14ac:dyDescent="0.2">
      <c r="A8" s="529"/>
      <c r="B8" s="537"/>
      <c r="C8" s="530"/>
      <c r="D8" s="531"/>
      <c r="E8" s="531"/>
      <c r="F8" s="531"/>
      <c r="G8" s="531"/>
      <c r="H8" s="531"/>
      <c r="I8" s="531"/>
      <c r="J8" s="536"/>
    </row>
    <row r="9" spans="1:10" x14ac:dyDescent="0.2">
      <c r="A9" s="529"/>
      <c r="B9" s="537" t="s">
        <v>1305</v>
      </c>
      <c r="C9" s="530"/>
      <c r="D9" s="531">
        <v>110600000</v>
      </c>
      <c r="E9" s="531"/>
      <c r="F9" s="531">
        <v>85964119.409999996</v>
      </c>
      <c r="G9" s="531"/>
      <c r="H9" s="531">
        <f>D9-F9</f>
        <v>24635880.590000004</v>
      </c>
      <c r="I9" s="531"/>
      <c r="J9" s="532">
        <f>F9/D9</f>
        <v>0.7772524358951175</v>
      </c>
    </row>
    <row r="10" spans="1:10" x14ac:dyDescent="0.2">
      <c r="A10" s="529"/>
      <c r="B10" s="537" t="s">
        <v>186</v>
      </c>
      <c r="C10" s="530"/>
      <c r="D10" s="531"/>
      <c r="E10" s="531"/>
      <c r="F10" s="531"/>
      <c r="G10" s="531"/>
      <c r="H10" s="531"/>
      <c r="I10" s="531"/>
      <c r="J10" s="538"/>
    </row>
    <row r="11" spans="1:10" x14ac:dyDescent="0.2">
      <c r="A11" s="529"/>
      <c r="B11" s="537" t="s">
        <v>187</v>
      </c>
      <c r="C11" s="530"/>
      <c r="D11" s="531">
        <v>135000000</v>
      </c>
      <c r="E11" s="531"/>
      <c r="F11" s="539">
        <v>56855375.359999999</v>
      </c>
      <c r="G11" s="531"/>
      <c r="H11" s="531">
        <f t="shared" ref="H11:H20" si="0">D11-F11</f>
        <v>78144624.640000001</v>
      </c>
      <c r="I11" s="531"/>
      <c r="J11" s="532">
        <f t="shared" ref="J11:J20" si="1">F11/D11</f>
        <v>0.42115092859259257</v>
      </c>
    </row>
    <row r="12" spans="1:10" x14ac:dyDescent="0.2">
      <c r="A12" s="529"/>
      <c r="B12" s="537" t="s">
        <v>195</v>
      </c>
      <c r="C12" s="530"/>
      <c r="D12" s="531">
        <v>938429744.33000004</v>
      </c>
      <c r="E12" s="531"/>
      <c r="F12" s="539">
        <v>410054092.89999998</v>
      </c>
      <c r="G12" s="531"/>
      <c r="H12" s="531">
        <f t="shared" si="0"/>
        <v>528375651.43000007</v>
      </c>
      <c r="I12" s="531"/>
      <c r="J12" s="532">
        <f t="shared" si="1"/>
        <v>0.43695768956339037</v>
      </c>
    </row>
    <row r="13" spans="1:10" x14ac:dyDescent="0.2">
      <c r="A13" s="529"/>
      <c r="B13" s="489" t="s">
        <v>3433</v>
      </c>
      <c r="C13" s="530"/>
      <c r="D13" s="531">
        <v>5094896925</v>
      </c>
      <c r="E13" s="531"/>
      <c r="F13" s="531">
        <v>2476660701.4200001</v>
      </c>
      <c r="G13" s="531"/>
      <c r="H13" s="531">
        <f t="shared" si="0"/>
        <v>2618236223.5799999</v>
      </c>
      <c r="I13" s="531"/>
      <c r="J13" s="532">
        <f t="shared" si="1"/>
        <v>0.48610614461449581</v>
      </c>
    </row>
    <row r="14" spans="1:10" x14ac:dyDescent="0.2">
      <c r="A14" s="529"/>
      <c r="B14" s="537" t="s">
        <v>88</v>
      </c>
      <c r="C14" s="530"/>
      <c r="D14" s="531">
        <v>3214000000</v>
      </c>
      <c r="E14" s="531"/>
      <c r="F14" s="531">
        <v>2975245775.1500001</v>
      </c>
      <c r="G14" s="531"/>
      <c r="H14" s="531">
        <f t="shared" si="0"/>
        <v>238754224.8499999</v>
      </c>
      <c r="I14" s="531"/>
      <c r="J14" s="532">
        <f t="shared" si="1"/>
        <v>0.9257143046515246</v>
      </c>
    </row>
    <row r="15" spans="1:10" x14ac:dyDescent="0.2">
      <c r="A15" s="529"/>
      <c r="B15" s="537" t="s">
        <v>3455</v>
      </c>
      <c r="C15" s="530"/>
      <c r="D15" s="531">
        <v>426000000</v>
      </c>
      <c r="E15" s="531"/>
      <c r="F15" s="531">
        <v>138173872</v>
      </c>
      <c r="G15" s="531"/>
      <c r="H15" s="531">
        <f t="shared" si="0"/>
        <v>287826128</v>
      </c>
      <c r="I15" s="531"/>
      <c r="J15" s="532">
        <f t="shared" si="1"/>
        <v>0.32435181220657278</v>
      </c>
    </row>
    <row r="16" spans="1:10" x14ac:dyDescent="0.2">
      <c r="A16" s="529"/>
      <c r="B16" s="537" t="s">
        <v>385</v>
      </c>
      <c r="C16" s="530"/>
      <c r="D16" s="531">
        <v>387000000</v>
      </c>
      <c r="E16" s="531"/>
      <c r="F16" s="531">
        <v>359116746.36000001</v>
      </c>
      <c r="G16" s="531"/>
      <c r="H16" s="531">
        <f t="shared" si="0"/>
        <v>27883253.639999986</v>
      </c>
      <c r="I16" s="531"/>
      <c r="J16" s="532">
        <f t="shared" si="1"/>
        <v>0.92795024899224809</v>
      </c>
    </row>
    <row r="17" spans="1:10" x14ac:dyDescent="0.2">
      <c r="A17" s="529"/>
      <c r="B17" s="537" t="s">
        <v>3456</v>
      </c>
      <c r="C17" s="530"/>
      <c r="D17" s="531"/>
      <c r="E17" s="531"/>
      <c r="F17" s="531"/>
      <c r="G17" s="531"/>
      <c r="H17" s="531" t="s">
        <v>468</v>
      </c>
      <c r="I17" s="531"/>
      <c r="J17" s="538" t="s">
        <v>468</v>
      </c>
    </row>
    <row r="18" spans="1:10" x14ac:dyDescent="0.2">
      <c r="A18" s="529"/>
      <c r="B18" s="537" t="s">
        <v>3457</v>
      </c>
      <c r="C18" s="530"/>
      <c r="D18" s="531">
        <v>260468713330.67001</v>
      </c>
      <c r="E18" s="531"/>
      <c r="F18" s="531">
        <v>140902769318.89999</v>
      </c>
      <c r="G18" s="531"/>
      <c r="H18" s="531">
        <f t="shared" si="0"/>
        <v>119565944011.77002</v>
      </c>
      <c r="I18" s="531"/>
      <c r="J18" s="532">
        <f t="shared" si="1"/>
        <v>0.54095851865333722</v>
      </c>
    </row>
    <row r="19" spans="1:10" x14ac:dyDescent="0.2">
      <c r="A19" s="529"/>
      <c r="B19" s="537" t="s">
        <v>3458</v>
      </c>
      <c r="C19" s="530"/>
      <c r="D19" s="531">
        <v>74800000</v>
      </c>
      <c r="E19" s="531"/>
      <c r="F19" s="531">
        <v>74800000</v>
      </c>
      <c r="G19" s="531"/>
      <c r="H19" s="531">
        <f t="shared" si="0"/>
        <v>0</v>
      </c>
      <c r="I19" s="531"/>
      <c r="J19" s="532">
        <f t="shared" si="1"/>
        <v>1</v>
      </c>
    </row>
    <row r="20" spans="1:10" x14ac:dyDescent="0.2">
      <c r="A20" s="529"/>
      <c r="B20" s="537" t="s">
        <v>188</v>
      </c>
      <c r="C20" s="530"/>
      <c r="D20" s="531">
        <v>27614765935</v>
      </c>
      <c r="E20" s="531"/>
      <c r="F20" s="531">
        <v>47933667346.389999</v>
      </c>
      <c r="G20" s="531"/>
      <c r="H20" s="531">
        <f t="shared" si="0"/>
        <v>-20318901411.389999</v>
      </c>
      <c r="I20" s="531"/>
      <c r="J20" s="532">
        <f t="shared" si="1"/>
        <v>1.7357984296957973</v>
      </c>
    </row>
    <row r="21" spans="1:10" x14ac:dyDescent="0.2">
      <c r="A21" s="529"/>
      <c r="B21" s="537"/>
      <c r="C21" s="530"/>
      <c r="D21" s="531"/>
      <c r="E21" s="531"/>
      <c r="F21" s="531"/>
      <c r="G21" s="531"/>
      <c r="H21" s="531"/>
      <c r="I21" s="531"/>
      <c r="J21" s="532"/>
    </row>
    <row r="22" spans="1:10" x14ac:dyDescent="0.2">
      <c r="A22" s="525">
        <v>2</v>
      </c>
      <c r="B22" s="533" t="s">
        <v>323</v>
      </c>
      <c r="C22" s="540"/>
      <c r="D22" s="535">
        <f>SUM(D25:D27)</f>
        <v>5500000000</v>
      </c>
      <c r="E22" s="535"/>
      <c r="F22" s="535">
        <f>SUM(F25:F27)</f>
        <v>4741752124.8600006</v>
      </c>
      <c r="G22" s="535"/>
      <c r="H22" s="535">
        <f>SUM(H25:H27)</f>
        <v>758247875.13999987</v>
      </c>
      <c r="I22" s="535"/>
      <c r="J22" s="536">
        <f>F22/D22</f>
        <v>0.86213674997454559</v>
      </c>
    </row>
    <row r="23" spans="1:10" x14ac:dyDescent="0.2">
      <c r="A23" s="529"/>
      <c r="B23" s="537"/>
      <c r="C23" s="530"/>
      <c r="D23" s="531"/>
      <c r="E23" s="531"/>
      <c r="F23" s="531"/>
      <c r="G23" s="531"/>
      <c r="H23" s="531"/>
      <c r="I23" s="531"/>
      <c r="J23" s="532"/>
    </row>
    <row r="24" spans="1:10" x14ac:dyDescent="0.2">
      <c r="A24" s="529"/>
      <c r="B24" s="537" t="s">
        <v>186</v>
      </c>
      <c r="C24" s="530"/>
      <c r="D24" s="531"/>
      <c r="E24" s="531"/>
      <c r="F24" s="531"/>
      <c r="G24" s="531"/>
      <c r="H24" s="531"/>
      <c r="I24" s="531"/>
      <c r="J24" s="532"/>
    </row>
    <row r="25" spans="1:10" x14ac:dyDescent="0.2">
      <c r="A25" s="529"/>
      <c r="B25" s="537" t="s">
        <v>187</v>
      </c>
      <c r="C25" s="530"/>
      <c r="D25" s="531">
        <v>700000000</v>
      </c>
      <c r="E25" s="531"/>
      <c r="F25" s="531">
        <v>338563680.18000001</v>
      </c>
      <c r="G25" s="531"/>
      <c r="H25" s="531">
        <f>D25-F25</f>
        <v>361436319.81999999</v>
      </c>
      <c r="I25" s="531"/>
      <c r="J25" s="532">
        <f>F25/D25</f>
        <v>0.48366240025714285</v>
      </c>
    </row>
    <row r="26" spans="1:10" x14ac:dyDescent="0.2">
      <c r="A26" s="529"/>
      <c r="B26" s="537" t="s">
        <v>195</v>
      </c>
      <c r="C26" s="530"/>
      <c r="D26" s="531">
        <v>1900000000</v>
      </c>
      <c r="E26" s="531"/>
      <c r="F26" s="531">
        <v>892048384.49000001</v>
      </c>
      <c r="G26" s="531"/>
      <c r="H26" s="531">
        <f>D26-F26</f>
        <v>1007951615.51</v>
      </c>
      <c r="I26" s="531"/>
      <c r="J26" s="532">
        <f>F26/D26</f>
        <v>0.46949914973157897</v>
      </c>
    </row>
    <row r="27" spans="1:10" x14ac:dyDescent="0.2">
      <c r="A27" s="529"/>
      <c r="B27" s="537" t="s">
        <v>188</v>
      </c>
      <c r="C27" s="530"/>
      <c r="D27" s="531">
        <v>2900000000</v>
      </c>
      <c r="E27" s="531"/>
      <c r="F27" s="531">
        <v>3511140060.1900001</v>
      </c>
      <c r="G27" s="531"/>
      <c r="H27" s="531">
        <f>D27-F27</f>
        <v>-611140060.19000006</v>
      </c>
      <c r="I27" s="531"/>
      <c r="J27" s="532">
        <f>F27/D27</f>
        <v>1.2107379517896553</v>
      </c>
    </row>
    <row r="28" spans="1:10" x14ac:dyDescent="0.2">
      <c r="A28" s="529"/>
      <c r="B28" s="537"/>
      <c r="C28" s="530"/>
      <c r="D28" s="531"/>
      <c r="E28" s="531"/>
      <c r="F28" s="531"/>
      <c r="G28" s="531"/>
      <c r="H28" s="531"/>
      <c r="I28" s="531"/>
      <c r="J28" s="532"/>
    </row>
    <row r="29" spans="1:10" x14ac:dyDescent="0.2">
      <c r="A29" s="525">
        <v>4</v>
      </c>
      <c r="B29" s="533" t="s">
        <v>2301</v>
      </c>
      <c r="C29" s="540"/>
      <c r="D29" s="535">
        <f>SUM(D31:D38)</f>
        <v>228100000</v>
      </c>
      <c r="E29" s="535"/>
      <c r="F29" s="535">
        <f>SUM(F31:F38)</f>
        <v>83311970.530000001</v>
      </c>
      <c r="G29" s="535"/>
      <c r="H29" s="535">
        <f>SUM(H31:H38)</f>
        <v>144788029.47</v>
      </c>
      <c r="I29" s="535"/>
      <c r="J29" s="536">
        <f>F29/D29</f>
        <v>0.36524318513809734</v>
      </c>
    </row>
    <row r="30" spans="1:10" x14ac:dyDescent="0.2">
      <c r="A30" s="529"/>
      <c r="B30" s="537"/>
      <c r="C30" s="530"/>
      <c r="D30" s="531"/>
      <c r="E30" s="531"/>
      <c r="F30" s="531"/>
      <c r="G30" s="531"/>
      <c r="H30" s="531"/>
      <c r="I30" s="531"/>
      <c r="J30" s="532"/>
    </row>
    <row r="31" spans="1:10" x14ac:dyDescent="0.2">
      <c r="A31" s="529"/>
      <c r="B31" s="537" t="s">
        <v>3459</v>
      </c>
      <c r="C31" s="530"/>
      <c r="D31" s="531">
        <v>10000000</v>
      </c>
      <c r="E31" s="531"/>
      <c r="F31" s="531">
        <v>4536215.42</v>
      </c>
      <c r="G31" s="531"/>
      <c r="H31" s="531">
        <f t="shared" ref="H31:H38" si="2">D31-F31</f>
        <v>5463784.5800000001</v>
      </c>
      <c r="I31" s="531"/>
      <c r="J31" s="532">
        <f>F31/D31</f>
        <v>0.45362154199999999</v>
      </c>
    </row>
    <row r="32" spans="1:10" x14ac:dyDescent="0.2">
      <c r="A32" s="529"/>
      <c r="B32" s="537" t="s">
        <v>1173</v>
      </c>
      <c r="C32" s="540"/>
      <c r="D32" s="531">
        <v>0</v>
      </c>
      <c r="E32" s="531"/>
      <c r="F32" s="531">
        <v>34583.35</v>
      </c>
      <c r="G32" s="531"/>
      <c r="H32" s="531">
        <f t="shared" si="2"/>
        <v>-34583.35</v>
      </c>
      <c r="I32" s="531"/>
      <c r="J32" s="538" t="s">
        <v>3460</v>
      </c>
    </row>
    <row r="33" spans="1:10" x14ac:dyDescent="0.2">
      <c r="A33" s="529"/>
      <c r="B33" s="537" t="s">
        <v>189</v>
      </c>
      <c r="C33" s="530"/>
      <c r="D33" s="531"/>
      <c r="E33" s="531"/>
      <c r="F33" s="531"/>
      <c r="G33" s="531"/>
      <c r="H33" s="531"/>
      <c r="I33" s="531"/>
      <c r="J33" s="532"/>
    </row>
    <row r="34" spans="1:10" x14ac:dyDescent="0.2">
      <c r="A34" s="529"/>
      <c r="B34" s="537" t="s">
        <v>3461</v>
      </c>
      <c r="C34" s="530"/>
      <c r="D34" s="531">
        <v>100000</v>
      </c>
      <c r="E34" s="531"/>
      <c r="F34" s="531">
        <v>11110</v>
      </c>
      <c r="G34" s="531"/>
      <c r="H34" s="531">
        <f t="shared" si="2"/>
        <v>88890</v>
      </c>
      <c r="I34" s="531"/>
      <c r="J34" s="532">
        <f>F34/D34</f>
        <v>0.1111</v>
      </c>
    </row>
    <row r="35" spans="1:10" x14ac:dyDescent="0.2">
      <c r="A35" s="529"/>
      <c r="B35" s="537" t="s">
        <v>3462</v>
      </c>
      <c r="C35" s="530"/>
      <c r="D35" s="531">
        <v>3000000</v>
      </c>
      <c r="E35" s="531"/>
      <c r="F35" s="531">
        <v>784708.05</v>
      </c>
      <c r="G35" s="531"/>
      <c r="H35" s="531">
        <f t="shared" si="2"/>
        <v>2215291.9500000002</v>
      </c>
      <c r="I35" s="531"/>
      <c r="J35" s="532">
        <f>F35/D35</f>
        <v>0.26156935000000003</v>
      </c>
    </row>
    <row r="36" spans="1:10" x14ac:dyDescent="0.2">
      <c r="A36" s="529"/>
      <c r="B36" s="537" t="s">
        <v>3463</v>
      </c>
      <c r="C36" s="530"/>
      <c r="D36" s="531">
        <v>50000000</v>
      </c>
      <c r="E36" s="531"/>
      <c r="F36" s="531">
        <v>20989494.329999998</v>
      </c>
      <c r="G36" s="531"/>
      <c r="H36" s="531">
        <f t="shared" si="2"/>
        <v>29010505.670000002</v>
      </c>
      <c r="I36" s="531"/>
      <c r="J36" s="532">
        <f>F36/D36</f>
        <v>0.41978988659999994</v>
      </c>
    </row>
    <row r="37" spans="1:10" x14ac:dyDescent="0.2">
      <c r="A37" s="529"/>
      <c r="B37" s="537" t="s">
        <v>3464</v>
      </c>
      <c r="C37" s="530"/>
      <c r="D37" s="531">
        <v>10000000</v>
      </c>
      <c r="E37" s="531"/>
      <c r="F37" s="531">
        <v>3307164.45</v>
      </c>
      <c r="G37" s="531"/>
      <c r="H37" s="531">
        <f t="shared" si="2"/>
        <v>6692835.5499999998</v>
      </c>
      <c r="I37" s="531"/>
      <c r="J37" s="532">
        <f>F37/D37</f>
        <v>0.33071644500000003</v>
      </c>
    </row>
    <row r="38" spans="1:10" x14ac:dyDescent="0.2">
      <c r="A38" s="529"/>
      <c r="B38" s="537" t="s">
        <v>3465</v>
      </c>
      <c r="C38" s="530"/>
      <c r="D38" s="531">
        <v>155000000</v>
      </c>
      <c r="E38" s="531"/>
      <c r="F38" s="531">
        <v>53648694.93</v>
      </c>
      <c r="G38" s="531"/>
      <c r="H38" s="531">
        <f t="shared" si="2"/>
        <v>101351305.06999999</v>
      </c>
      <c r="I38" s="531"/>
      <c r="J38" s="532">
        <f>F38/D38</f>
        <v>0.34612061245161291</v>
      </c>
    </row>
    <row r="39" spans="1:10" x14ac:dyDescent="0.2">
      <c r="A39" s="529"/>
      <c r="B39" s="537"/>
      <c r="C39" s="530"/>
      <c r="D39" s="531"/>
      <c r="E39" s="531"/>
      <c r="F39" s="531"/>
      <c r="G39" s="531"/>
      <c r="H39" s="531"/>
      <c r="I39" s="531"/>
      <c r="J39" s="536"/>
    </row>
    <row r="40" spans="1:10" x14ac:dyDescent="0.2">
      <c r="A40" s="525">
        <v>5</v>
      </c>
      <c r="B40" s="533" t="s">
        <v>1390</v>
      </c>
      <c r="C40" s="540"/>
      <c r="D40" s="535">
        <f>SUM(D42:D51)</f>
        <v>13005861429.93</v>
      </c>
      <c r="E40" s="535"/>
      <c r="F40" s="535">
        <f>SUM(F42:F51)</f>
        <v>12134028893.110001</v>
      </c>
      <c r="G40" s="535"/>
      <c r="H40" s="535">
        <f>SUM(H42:H51)</f>
        <v>871832536.81999969</v>
      </c>
      <c r="I40" s="535"/>
      <c r="J40" s="536">
        <f>F40/D40</f>
        <v>0.93296618286169974</v>
      </c>
    </row>
    <row r="41" spans="1:10" x14ac:dyDescent="0.2">
      <c r="A41" s="525"/>
      <c r="B41" s="533"/>
      <c r="C41" s="540"/>
      <c r="D41" s="535"/>
      <c r="E41" s="535"/>
      <c r="F41" s="535"/>
      <c r="G41" s="535"/>
      <c r="H41" s="535"/>
      <c r="I41" s="535"/>
      <c r="J41" s="532"/>
    </row>
    <row r="42" spans="1:10" x14ac:dyDescent="0.2">
      <c r="A42" s="525"/>
      <c r="B42" s="537" t="s">
        <v>751</v>
      </c>
      <c r="C42" s="540"/>
      <c r="D42" s="531">
        <v>426000000</v>
      </c>
      <c r="E42" s="531"/>
      <c r="F42" s="531">
        <v>202232564.13</v>
      </c>
      <c r="G42" s="531"/>
      <c r="H42" s="531">
        <f t="shared" ref="H42:H51" si="3">D42-F42</f>
        <v>223767435.87</v>
      </c>
      <c r="I42" s="531"/>
      <c r="J42" s="532">
        <f t="shared" ref="J42:J51" si="4">F42/D42</f>
        <v>0.47472432894366196</v>
      </c>
    </row>
    <row r="43" spans="1:10" x14ac:dyDescent="0.2">
      <c r="A43" s="525"/>
      <c r="B43" s="537" t="s">
        <v>87</v>
      </c>
      <c r="C43" s="540"/>
      <c r="D43" s="531">
        <v>0</v>
      </c>
      <c r="E43" s="531"/>
      <c r="F43" s="531">
        <v>22743526.489999998</v>
      </c>
      <c r="G43" s="531"/>
      <c r="H43" s="531">
        <f t="shared" si="3"/>
        <v>-22743526.489999998</v>
      </c>
      <c r="I43" s="531"/>
      <c r="J43" s="538" t="s">
        <v>3460</v>
      </c>
    </row>
    <row r="44" spans="1:10" x14ac:dyDescent="0.2">
      <c r="A44" s="525"/>
      <c r="B44" s="541" t="s">
        <v>266</v>
      </c>
      <c r="C44" s="540"/>
      <c r="D44" s="531">
        <v>55000000</v>
      </c>
      <c r="E44" s="531"/>
      <c r="F44" s="531">
        <v>25809096.16</v>
      </c>
      <c r="G44" s="531"/>
      <c r="H44" s="531">
        <f t="shared" si="3"/>
        <v>29190903.84</v>
      </c>
      <c r="I44" s="531"/>
      <c r="J44" s="532">
        <f t="shared" si="4"/>
        <v>0.46925629381818185</v>
      </c>
    </row>
    <row r="45" spans="1:10" x14ac:dyDescent="0.2">
      <c r="A45" s="525"/>
      <c r="B45" s="537" t="s">
        <v>88</v>
      </c>
      <c r="C45" s="540"/>
      <c r="D45" s="531">
        <v>68000000</v>
      </c>
      <c r="E45" s="531"/>
      <c r="F45" s="531">
        <v>18071197.98</v>
      </c>
      <c r="G45" s="531"/>
      <c r="H45" s="531">
        <f t="shared" si="3"/>
        <v>49928802.019999996</v>
      </c>
      <c r="I45" s="531"/>
      <c r="J45" s="532">
        <f t="shared" si="4"/>
        <v>0.26575291147058822</v>
      </c>
    </row>
    <row r="46" spans="1:10" x14ac:dyDescent="0.2">
      <c r="A46" s="525"/>
      <c r="B46" s="537" t="s">
        <v>1173</v>
      </c>
      <c r="C46" s="540"/>
      <c r="D46" s="531">
        <v>6000000</v>
      </c>
      <c r="E46" s="531"/>
      <c r="F46" s="531">
        <v>0</v>
      </c>
      <c r="G46" s="531"/>
      <c r="H46" s="531">
        <f t="shared" si="3"/>
        <v>6000000</v>
      </c>
      <c r="I46" s="531"/>
      <c r="J46" s="532">
        <f t="shared" si="4"/>
        <v>0</v>
      </c>
    </row>
    <row r="47" spans="1:10" x14ac:dyDescent="0.2">
      <c r="A47" s="525"/>
      <c r="B47" s="537" t="s">
        <v>3456</v>
      </c>
      <c r="C47" s="540"/>
      <c r="D47" s="531"/>
      <c r="E47" s="531"/>
      <c r="F47" s="531"/>
      <c r="G47" s="531"/>
      <c r="H47" s="531"/>
      <c r="I47" s="531"/>
      <c r="J47" s="538" t="s">
        <v>3432</v>
      </c>
    </row>
    <row r="48" spans="1:10" x14ac:dyDescent="0.2">
      <c r="A48" s="525"/>
      <c r="B48" s="537" t="s">
        <v>3457</v>
      </c>
      <c r="C48" s="540"/>
      <c r="D48" s="531">
        <v>5479861429.9300003</v>
      </c>
      <c r="E48" s="531"/>
      <c r="F48" s="531">
        <v>2662144927.6300001</v>
      </c>
      <c r="G48" s="531"/>
      <c r="H48" s="531">
        <f t="shared" si="3"/>
        <v>2817716502.3000002</v>
      </c>
      <c r="I48" s="531"/>
      <c r="J48" s="532">
        <f t="shared" si="4"/>
        <v>0.48580515432194171</v>
      </c>
    </row>
    <row r="49" spans="1:10" x14ac:dyDescent="0.2">
      <c r="A49" s="525"/>
      <c r="B49" s="537" t="s">
        <v>66</v>
      </c>
      <c r="C49" s="540"/>
      <c r="D49" s="531">
        <v>371000000</v>
      </c>
      <c r="E49" s="531"/>
      <c r="F49" s="531">
        <v>356739305.73000002</v>
      </c>
      <c r="G49" s="531"/>
      <c r="H49" s="531">
        <f t="shared" si="3"/>
        <v>14260694.269999981</v>
      </c>
      <c r="I49" s="531"/>
      <c r="J49" s="532">
        <f t="shared" si="4"/>
        <v>0.9615614709703505</v>
      </c>
    </row>
    <row r="50" spans="1:10" x14ac:dyDescent="0.2">
      <c r="A50" s="525"/>
      <c r="B50" s="537" t="s">
        <v>65</v>
      </c>
      <c r="C50" s="540"/>
      <c r="D50" s="531">
        <v>100000000</v>
      </c>
      <c r="E50" s="531"/>
      <c r="F50" s="531">
        <v>24158622.98</v>
      </c>
      <c r="G50" s="531"/>
      <c r="H50" s="531">
        <f t="shared" si="3"/>
        <v>75841377.019999996</v>
      </c>
      <c r="I50" s="531"/>
      <c r="J50" s="532">
        <f t="shared" si="4"/>
        <v>0.2415862298</v>
      </c>
    </row>
    <row r="51" spans="1:10" x14ac:dyDescent="0.2">
      <c r="A51" s="525"/>
      <c r="B51" s="537" t="s">
        <v>188</v>
      </c>
      <c r="C51" s="540"/>
      <c r="D51" s="531">
        <v>6500000000</v>
      </c>
      <c r="E51" s="531"/>
      <c r="F51" s="531">
        <v>8822129652.0100002</v>
      </c>
      <c r="G51" s="531"/>
      <c r="H51" s="531">
        <f t="shared" si="3"/>
        <v>-2322129652.0100002</v>
      </c>
      <c r="I51" s="531"/>
      <c r="J51" s="532">
        <f t="shared" si="4"/>
        <v>1.3572507156938463</v>
      </c>
    </row>
    <row r="52" spans="1:10" x14ac:dyDescent="0.2">
      <c r="A52" s="529"/>
      <c r="B52" s="537"/>
      <c r="C52" s="530"/>
      <c r="D52" s="531"/>
      <c r="E52" s="531"/>
      <c r="F52" s="531"/>
      <c r="G52" s="531"/>
      <c r="H52" s="531"/>
      <c r="I52" s="531"/>
      <c r="J52" s="532"/>
    </row>
    <row r="53" spans="1:10" x14ac:dyDescent="0.2">
      <c r="A53" s="525">
        <v>6</v>
      </c>
      <c r="B53" s="533" t="s">
        <v>1392</v>
      </c>
      <c r="C53" s="540"/>
      <c r="D53" s="535">
        <f>SUM(D56:D57)</f>
        <v>850000000</v>
      </c>
      <c r="E53" s="535"/>
      <c r="F53" s="535">
        <f>SUM(F56:F57)</f>
        <v>677770041.25999999</v>
      </c>
      <c r="G53" s="535"/>
      <c r="H53" s="535">
        <f>SUM(H56:H57)</f>
        <v>172229958.73999998</v>
      </c>
      <c r="I53" s="535"/>
      <c r="J53" s="536">
        <f>F53/D53</f>
        <v>0.79737651912941176</v>
      </c>
    </row>
    <row r="54" spans="1:10" x14ac:dyDescent="0.2">
      <c r="A54" s="529"/>
      <c r="B54" s="537"/>
      <c r="C54" s="530"/>
      <c r="D54" s="531"/>
      <c r="E54" s="531"/>
      <c r="F54" s="531"/>
      <c r="G54" s="531"/>
      <c r="H54" s="531"/>
      <c r="I54" s="531"/>
      <c r="J54" s="532"/>
    </row>
    <row r="55" spans="1:10" x14ac:dyDescent="0.2">
      <c r="A55" s="529"/>
      <c r="B55" s="537" t="s">
        <v>186</v>
      </c>
      <c r="C55" s="530"/>
      <c r="D55" s="531"/>
      <c r="E55" s="531"/>
      <c r="F55" s="531"/>
      <c r="G55" s="531"/>
      <c r="H55" s="531"/>
      <c r="I55" s="531"/>
      <c r="J55" s="532"/>
    </row>
    <row r="56" spans="1:10" x14ac:dyDescent="0.2">
      <c r="A56" s="529"/>
      <c r="B56" s="529" t="s">
        <v>266</v>
      </c>
      <c r="C56" s="530"/>
      <c r="D56" s="531">
        <v>450000000</v>
      </c>
      <c r="E56" s="531"/>
      <c r="F56" s="531">
        <v>234429921.02000001</v>
      </c>
      <c r="G56" s="531"/>
      <c r="H56" s="531">
        <f>D56-F56</f>
        <v>215570078.97999999</v>
      </c>
      <c r="I56" s="531"/>
      <c r="J56" s="532">
        <f>F56/D56</f>
        <v>0.52095538004444442</v>
      </c>
    </row>
    <row r="57" spans="1:10" x14ac:dyDescent="0.2">
      <c r="A57" s="529"/>
      <c r="B57" s="537" t="s">
        <v>188</v>
      </c>
      <c r="C57" s="530"/>
      <c r="D57" s="531">
        <v>400000000</v>
      </c>
      <c r="E57" s="531"/>
      <c r="F57" s="531">
        <v>443340120.24000001</v>
      </c>
      <c r="G57" s="531"/>
      <c r="H57" s="531">
        <f>D57-F57</f>
        <v>-43340120.24000001</v>
      </c>
      <c r="I57" s="531"/>
      <c r="J57" s="532">
        <f>F57/D57</f>
        <v>1.1083503005999999</v>
      </c>
    </row>
    <row r="58" spans="1:10" x14ac:dyDescent="0.2">
      <c r="A58" s="529"/>
      <c r="B58" s="537"/>
      <c r="C58" s="530"/>
      <c r="D58" s="531"/>
      <c r="E58" s="531"/>
      <c r="F58" s="531"/>
      <c r="G58" s="531"/>
      <c r="H58" s="531"/>
      <c r="I58" s="531"/>
      <c r="J58" s="532"/>
    </row>
    <row r="59" spans="1:10" x14ac:dyDescent="0.2">
      <c r="A59" s="525">
        <v>7</v>
      </c>
      <c r="B59" s="533" t="s">
        <v>3466</v>
      </c>
      <c r="C59" s="530"/>
      <c r="D59" s="535">
        <f>SUM(D62:D63)</f>
        <v>2650000000</v>
      </c>
      <c r="E59" s="535"/>
      <c r="F59" s="535">
        <f>SUM(F62:F63)</f>
        <v>1548461080.73</v>
      </c>
      <c r="G59" s="535"/>
      <c r="H59" s="535">
        <f>SUM(H62:H63)</f>
        <v>1101538919.27</v>
      </c>
      <c r="I59" s="535"/>
      <c r="J59" s="536">
        <f>F59/D59</f>
        <v>0.58432493612452829</v>
      </c>
    </row>
    <row r="60" spans="1:10" x14ac:dyDescent="0.2">
      <c r="A60" s="529"/>
      <c r="B60" s="537"/>
      <c r="C60" s="530"/>
      <c r="D60" s="531"/>
      <c r="E60" s="531"/>
      <c r="F60" s="531"/>
      <c r="G60" s="531"/>
      <c r="H60" s="531"/>
      <c r="I60" s="531"/>
      <c r="J60" s="532"/>
    </row>
    <row r="61" spans="1:10" x14ac:dyDescent="0.2">
      <c r="A61" s="529"/>
      <c r="B61" s="537" t="s">
        <v>186</v>
      </c>
      <c r="C61" s="530"/>
      <c r="D61" s="531"/>
      <c r="E61" s="531"/>
      <c r="F61" s="531"/>
      <c r="G61" s="531"/>
      <c r="H61" s="531"/>
      <c r="I61" s="531"/>
      <c r="J61" s="532"/>
    </row>
    <row r="62" spans="1:10" x14ac:dyDescent="0.2">
      <c r="A62" s="529"/>
      <c r="B62" s="537" t="s">
        <v>3467</v>
      </c>
      <c r="C62" s="530"/>
      <c r="D62" s="531">
        <v>2250000000</v>
      </c>
      <c r="E62" s="531"/>
      <c r="F62" s="531">
        <v>1219785735.48</v>
      </c>
      <c r="G62" s="531"/>
      <c r="H62" s="531">
        <f>D62-F62</f>
        <v>1030214264.52</v>
      </c>
      <c r="I62" s="531"/>
      <c r="J62" s="532">
        <f>F62/D62</f>
        <v>0.54212699354666671</v>
      </c>
    </row>
    <row r="63" spans="1:10" x14ac:dyDescent="0.2">
      <c r="A63" s="529"/>
      <c r="B63" s="537" t="s">
        <v>188</v>
      </c>
      <c r="C63" s="530"/>
      <c r="D63" s="531">
        <v>400000000</v>
      </c>
      <c r="E63" s="531"/>
      <c r="F63" s="531">
        <v>328675345.25</v>
      </c>
      <c r="G63" s="531"/>
      <c r="H63" s="531">
        <f>D63-F63</f>
        <v>71324654.75</v>
      </c>
      <c r="I63" s="531"/>
      <c r="J63" s="532">
        <f>F63/D63</f>
        <v>0.82168836312500004</v>
      </c>
    </row>
    <row r="64" spans="1:10" x14ac:dyDescent="0.2">
      <c r="A64" s="529"/>
      <c r="B64" s="530"/>
      <c r="C64" s="530"/>
      <c r="D64" s="531"/>
      <c r="E64" s="531"/>
      <c r="F64" s="531"/>
      <c r="G64" s="531"/>
      <c r="H64" s="531"/>
      <c r="I64" s="531"/>
      <c r="J64" s="532"/>
    </row>
    <row r="65" spans="1:10" x14ac:dyDescent="0.2">
      <c r="A65" s="525">
        <v>8</v>
      </c>
      <c r="B65" s="533" t="s">
        <v>1094</v>
      </c>
      <c r="C65" s="530"/>
      <c r="D65" s="535">
        <f>SUM(D68:D71)</f>
        <v>7749500000</v>
      </c>
      <c r="E65" s="535"/>
      <c r="F65" s="535">
        <f>SUM(F68:F71)</f>
        <v>8351860900.8199997</v>
      </c>
      <c r="G65" s="535"/>
      <c r="H65" s="535">
        <f>SUM(H68:H71)</f>
        <v>-602360900.82000017</v>
      </c>
      <c r="I65" s="535"/>
      <c r="J65" s="536">
        <f>F65/D65</f>
        <v>1.0777290019769017</v>
      </c>
    </row>
    <row r="66" spans="1:10" x14ac:dyDescent="0.2">
      <c r="A66" s="529"/>
      <c r="B66" s="537"/>
      <c r="C66" s="530"/>
      <c r="D66" s="531"/>
      <c r="E66" s="531"/>
      <c r="F66" s="531"/>
      <c r="G66" s="531"/>
      <c r="H66" s="531"/>
      <c r="I66" s="531"/>
      <c r="J66" s="532"/>
    </row>
    <row r="67" spans="1:10" x14ac:dyDescent="0.2">
      <c r="A67" s="529"/>
      <c r="B67" s="537" t="s">
        <v>186</v>
      </c>
      <c r="C67" s="530"/>
      <c r="D67" s="531"/>
      <c r="E67" s="531"/>
      <c r="F67" s="531"/>
      <c r="G67" s="531"/>
      <c r="H67" s="531"/>
      <c r="I67" s="531"/>
      <c r="J67" s="532"/>
    </row>
    <row r="68" spans="1:10" x14ac:dyDescent="0.2">
      <c r="A68" s="529"/>
      <c r="B68" s="537" t="s">
        <v>3468</v>
      </c>
      <c r="C68" s="530"/>
      <c r="D68" s="531">
        <v>1000000000</v>
      </c>
      <c r="E68" s="531"/>
      <c r="F68" s="531">
        <v>305292856.66000003</v>
      </c>
      <c r="G68" s="531"/>
      <c r="H68" s="531">
        <f>D68-F68</f>
        <v>694707143.33999991</v>
      </c>
      <c r="I68" s="531"/>
      <c r="J68" s="532">
        <f>F68/D68</f>
        <v>0.30529285666</v>
      </c>
    </row>
    <row r="69" spans="1:10" x14ac:dyDescent="0.2">
      <c r="A69" s="529"/>
      <c r="B69" s="537" t="s">
        <v>88</v>
      </c>
      <c r="C69" s="530"/>
      <c r="D69" s="531">
        <v>100000000</v>
      </c>
      <c r="E69" s="531"/>
      <c r="F69" s="531">
        <v>43975622.210000001</v>
      </c>
      <c r="G69" s="531"/>
      <c r="H69" s="531">
        <f>D69-F69</f>
        <v>56024377.789999999</v>
      </c>
      <c r="I69" s="531"/>
      <c r="J69" s="532">
        <f>F69/D69</f>
        <v>0.43975622209999998</v>
      </c>
    </row>
    <row r="70" spans="1:10" x14ac:dyDescent="0.2">
      <c r="A70" s="529"/>
      <c r="B70" s="537" t="s">
        <v>3469</v>
      </c>
      <c r="C70" s="530"/>
      <c r="D70" s="531">
        <v>800000000</v>
      </c>
      <c r="E70" s="531"/>
      <c r="F70" s="531">
        <v>866047691.74000001</v>
      </c>
      <c r="G70" s="531"/>
      <c r="H70" s="531">
        <f>D70-F70</f>
        <v>-66047691.74000001</v>
      </c>
      <c r="I70" s="531"/>
      <c r="J70" s="532">
        <f>F70/D70</f>
        <v>1.0825596146750001</v>
      </c>
    </row>
    <row r="71" spans="1:10" x14ac:dyDescent="0.2">
      <c r="A71" s="529"/>
      <c r="B71" s="537" t="s">
        <v>188</v>
      </c>
      <c r="C71" s="530"/>
      <c r="D71" s="531">
        <v>5849500000</v>
      </c>
      <c r="E71" s="531"/>
      <c r="F71" s="531">
        <v>7136544730.21</v>
      </c>
      <c r="G71" s="531"/>
      <c r="H71" s="531">
        <f>D71-F71</f>
        <v>-1287044730.21</v>
      </c>
      <c r="I71" s="531"/>
      <c r="J71" s="532">
        <f>F71/D71</f>
        <v>1.2200264518693906</v>
      </c>
    </row>
    <row r="72" spans="1:10" x14ac:dyDescent="0.2">
      <c r="A72" s="529"/>
      <c r="B72" s="537"/>
      <c r="C72" s="530"/>
      <c r="D72" s="531"/>
      <c r="E72" s="531"/>
      <c r="F72" s="531"/>
      <c r="G72" s="531"/>
      <c r="H72" s="531"/>
      <c r="I72" s="531"/>
      <c r="J72" s="532"/>
    </row>
    <row r="73" spans="1:10" x14ac:dyDescent="0.2">
      <c r="A73" s="525">
        <v>9</v>
      </c>
      <c r="B73" s="533" t="s">
        <v>1095</v>
      </c>
      <c r="C73" s="530"/>
      <c r="D73" s="535">
        <f>SUM(D76:D77)</f>
        <v>7069913353.2700005</v>
      </c>
      <c r="E73" s="535"/>
      <c r="F73" s="535">
        <f>SUM(F76:F77)</f>
        <v>6512110926.2300005</v>
      </c>
      <c r="G73" s="535"/>
      <c r="H73" s="535">
        <f>SUM(H76:H77)</f>
        <v>557802427.03999996</v>
      </c>
      <c r="I73" s="535"/>
      <c r="J73" s="536">
        <f>F73/D73</f>
        <v>0.92110194295634429</v>
      </c>
    </row>
    <row r="74" spans="1:10" x14ac:dyDescent="0.2">
      <c r="A74" s="525"/>
      <c r="B74" s="533"/>
      <c r="C74" s="530"/>
      <c r="D74" s="535"/>
      <c r="E74" s="535"/>
      <c r="F74" s="535"/>
      <c r="G74" s="535"/>
      <c r="H74" s="535"/>
      <c r="I74" s="535"/>
      <c r="J74" s="536"/>
    </row>
    <row r="75" spans="1:10" x14ac:dyDescent="0.2">
      <c r="A75" s="529"/>
      <c r="B75" s="537" t="s">
        <v>3456</v>
      </c>
      <c r="C75" s="530"/>
      <c r="D75" s="531"/>
      <c r="E75" s="531"/>
      <c r="F75" s="531"/>
      <c r="G75" s="531"/>
      <c r="H75" s="531"/>
      <c r="I75" s="531"/>
      <c r="J75" s="532"/>
    </row>
    <row r="76" spans="1:10" x14ac:dyDescent="0.2">
      <c r="A76" s="529"/>
      <c r="B76" s="537" t="s">
        <v>3457</v>
      </c>
      <c r="C76" s="530"/>
      <c r="D76" s="531">
        <v>4474913353.2700005</v>
      </c>
      <c r="E76" s="531"/>
      <c r="F76" s="531">
        <v>1487468358.96</v>
      </c>
      <c r="G76" s="531"/>
      <c r="H76" s="531">
        <f>D76-F76</f>
        <v>2987444994.3100004</v>
      </c>
      <c r="I76" s="531"/>
      <c r="J76" s="532">
        <f>F76/D76</f>
        <v>0.33240160010540687</v>
      </c>
    </row>
    <row r="77" spans="1:10" x14ac:dyDescent="0.2">
      <c r="A77" s="529"/>
      <c r="B77" s="537" t="s">
        <v>188</v>
      </c>
      <c r="C77" s="530"/>
      <c r="D77" s="531">
        <v>2595000000</v>
      </c>
      <c r="E77" s="531"/>
      <c r="F77" s="531">
        <v>5024642567.2700005</v>
      </c>
      <c r="G77" s="531"/>
      <c r="H77" s="531">
        <f>D77-F77</f>
        <v>-2429642567.2700005</v>
      </c>
      <c r="I77" s="531"/>
      <c r="J77" s="532">
        <f>F77/D77</f>
        <v>1.9362784459614646</v>
      </c>
    </row>
    <row r="78" spans="1:10" x14ac:dyDescent="0.2">
      <c r="A78" s="529"/>
      <c r="B78" s="537"/>
      <c r="C78" s="530"/>
      <c r="D78" s="531"/>
      <c r="E78" s="531"/>
      <c r="F78" s="531" t="s">
        <v>468</v>
      </c>
      <c r="G78" s="531"/>
      <c r="H78" s="531"/>
      <c r="I78" s="531"/>
      <c r="J78" s="536"/>
    </row>
    <row r="79" spans="1:10" x14ac:dyDescent="0.2">
      <c r="A79" s="525">
        <v>10</v>
      </c>
      <c r="B79" s="533" t="s">
        <v>1774</v>
      </c>
      <c r="C79" s="540"/>
      <c r="D79" s="535">
        <f>SUM(D81:D84)</f>
        <v>12029947681.490002</v>
      </c>
      <c r="E79" s="535"/>
      <c r="F79" s="535">
        <f>SUM(F81:F84)</f>
        <v>2462841202.71</v>
      </c>
      <c r="G79" s="535"/>
      <c r="H79" s="535">
        <f>SUM(H81:H84)</f>
        <v>9567106478.7800007</v>
      </c>
      <c r="I79" s="535"/>
      <c r="J79" s="536">
        <f>F79/D79</f>
        <v>0.2047258448596144</v>
      </c>
    </row>
    <row r="80" spans="1:10" x14ac:dyDescent="0.2">
      <c r="A80" s="529"/>
      <c r="B80" s="537"/>
      <c r="C80" s="530"/>
      <c r="D80" s="531"/>
      <c r="E80" s="531"/>
      <c r="F80" s="531"/>
      <c r="G80" s="531"/>
      <c r="H80" s="531"/>
      <c r="I80" s="531"/>
      <c r="J80" s="536"/>
    </row>
    <row r="81" spans="1:10" x14ac:dyDescent="0.2">
      <c r="A81" s="529"/>
      <c r="B81" s="537" t="s">
        <v>3456</v>
      </c>
      <c r="C81" s="530"/>
      <c r="D81" s="531"/>
      <c r="E81" s="531"/>
      <c r="F81" s="531"/>
      <c r="G81" s="531"/>
      <c r="H81" s="531"/>
      <c r="I81" s="531"/>
      <c r="J81" s="531"/>
    </row>
    <row r="82" spans="1:10" x14ac:dyDescent="0.2">
      <c r="A82" s="529"/>
      <c r="B82" s="541" t="s">
        <v>3457</v>
      </c>
      <c r="C82" s="530"/>
      <c r="D82" s="531">
        <v>11158791991.870001</v>
      </c>
      <c r="E82" s="531"/>
      <c r="F82" s="531">
        <v>1668056351.8399999</v>
      </c>
      <c r="G82" s="531"/>
      <c r="H82" s="531">
        <f>D82-F82</f>
        <v>9490735640.0300007</v>
      </c>
      <c r="I82" s="531"/>
      <c r="J82" s="532">
        <f>F82/D82</f>
        <v>0.1494835958099498</v>
      </c>
    </row>
    <row r="83" spans="1:10" x14ac:dyDescent="0.2">
      <c r="A83" s="529"/>
      <c r="B83" s="541" t="s">
        <v>3470</v>
      </c>
      <c r="C83" s="530"/>
      <c r="D83" s="531">
        <v>109704480</v>
      </c>
      <c r="E83" s="531"/>
      <c r="F83" s="531">
        <v>33333641.25</v>
      </c>
      <c r="G83" s="531"/>
      <c r="H83" s="531">
        <f>D83-F83</f>
        <v>76370838.75</v>
      </c>
      <c r="I83" s="531"/>
      <c r="J83" s="532">
        <f>F83/D83</f>
        <v>0.30384940751735934</v>
      </c>
    </row>
    <row r="84" spans="1:10" x14ac:dyDescent="0.2">
      <c r="A84" s="529"/>
      <c r="B84" s="537" t="s">
        <v>188</v>
      </c>
      <c r="C84" s="530"/>
      <c r="D84" s="531">
        <v>761451209.62</v>
      </c>
      <c r="E84" s="531"/>
      <c r="F84" s="531">
        <v>761451209.62</v>
      </c>
      <c r="G84" s="531"/>
      <c r="H84" s="531">
        <f>D84-F84</f>
        <v>0</v>
      </c>
      <c r="I84" s="531"/>
      <c r="J84" s="532">
        <f>F84/D84</f>
        <v>1</v>
      </c>
    </row>
    <row r="85" spans="1:10" x14ac:dyDescent="0.2">
      <c r="A85" s="529"/>
      <c r="B85" s="537"/>
      <c r="C85" s="530"/>
      <c r="D85" s="531"/>
      <c r="E85" s="531"/>
      <c r="F85" s="531"/>
      <c r="G85" s="531"/>
      <c r="H85" s="531"/>
      <c r="I85" s="531"/>
      <c r="J85" s="536"/>
    </row>
    <row r="86" spans="1:10" ht="13.5" thickBot="1" x14ac:dyDescent="0.25">
      <c r="A86" s="525"/>
      <c r="B86" s="533" t="s">
        <v>93</v>
      </c>
      <c r="C86" s="542"/>
      <c r="D86" s="543">
        <f>D7+D22+D29+D40+D53+D59+D65+D73+D79</f>
        <v>347547528399.69</v>
      </c>
      <c r="E86" s="543"/>
      <c r="F86" s="543">
        <f>F7+F22+F29+F40+F53+F59+F65+F73+F79</f>
        <v>231925444488.14005</v>
      </c>
      <c r="G86" s="543"/>
      <c r="H86" s="543">
        <f>H7+H22+H29+H40+H53+H59+H65+H73+H79</f>
        <v>115622083911.55</v>
      </c>
      <c r="I86" s="544"/>
      <c r="J86" s="545">
        <f>F86/D86</f>
        <v>0.66732008009396304</v>
      </c>
    </row>
    <row r="87" spans="1:10" ht="13.5" thickTop="1" x14ac:dyDescent="0.2">
      <c r="A87" s="529"/>
      <c r="B87" s="537"/>
      <c r="C87" s="530"/>
      <c r="D87" s="531"/>
      <c r="E87" s="531"/>
      <c r="F87" s="531"/>
      <c r="G87" s="531"/>
      <c r="H87" s="531"/>
      <c r="I87" s="531"/>
      <c r="J87" s="532"/>
    </row>
    <row r="88" spans="1:10" x14ac:dyDescent="0.2">
      <c r="A88" s="529"/>
      <c r="B88" s="537"/>
      <c r="C88" s="530"/>
      <c r="D88" s="531"/>
      <c r="E88" s="531"/>
      <c r="F88" s="531"/>
      <c r="G88" s="531"/>
      <c r="H88" s="531"/>
      <c r="I88" s="531"/>
      <c r="J88" s="532"/>
    </row>
    <row r="89" spans="1:10" x14ac:dyDescent="0.2">
      <c r="A89" s="546"/>
      <c r="B89" s="547"/>
      <c r="C89" s="547"/>
      <c r="D89" s="548"/>
      <c r="E89" s="548"/>
      <c r="F89" s="548"/>
      <c r="G89" s="548"/>
      <c r="H89" s="548"/>
      <c r="I89" s="548"/>
      <c r="J89" s="549"/>
    </row>
    <row r="90" spans="1:10" x14ac:dyDescent="0.2">
      <c r="A90" s="546"/>
      <c r="B90" s="547"/>
      <c r="C90" s="547"/>
      <c r="D90" s="548"/>
      <c r="E90" s="548"/>
      <c r="F90" s="548"/>
      <c r="G90" s="548"/>
      <c r="I90" s="551"/>
      <c r="J90" s="551"/>
    </row>
  </sheetData>
  <mergeCells count="2">
    <mergeCell ref="A3:B3"/>
    <mergeCell ref="A1:J1"/>
  </mergeCells>
  <phoneticPr fontId="0" type="noConversion"/>
  <printOptions horizontalCentered="1"/>
  <pageMargins left="0.55118110236220474" right="0.59055118110236227" top="0.94488188976377963" bottom="0.70866141732283472" header="0.55118110236220474" footer="0.59055118110236227"/>
  <pageSetup scale="60" firstPageNumber="17" orientation="portrait" r:id="rId1"/>
  <headerFooter alignWithMargins="0">
    <oddHeader xml:space="preserve">&amp;C&amp;"Arial Negrita,Negrita"&amp;K000000UNIVERSIDAD DE COSTA RICA
VICERRECTORÍA DE ADMINISTRACIÓN
OFICINA DE ADMINISTRACIÓN FINANCIERA&amp;R&amp;"Arial Negrita,Negrita"&amp;K000000
</oddHeader>
    <oddFooter>&amp;C&amp;11&amp;P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142"/>
  <sheetViews>
    <sheetView workbookViewId="0">
      <selection activeCell="E148" sqref="E148"/>
    </sheetView>
  </sheetViews>
  <sheetFormatPr baseColWidth="10" defaultRowHeight="11.25" x14ac:dyDescent="0.2"/>
  <cols>
    <col min="1" max="1" width="7.7109375" style="560" bestFit="1" customWidth="1"/>
    <col min="2" max="2" width="51.7109375" style="562" customWidth="1"/>
    <col min="3" max="3" width="14.7109375" style="562" bestFit="1" customWidth="1"/>
    <col min="4" max="4" width="3" style="570" bestFit="1" customWidth="1"/>
    <col min="5" max="5" width="14.7109375" style="562" bestFit="1" customWidth="1"/>
    <col min="6" max="6" width="2" style="562" bestFit="1" customWidth="1"/>
    <col min="7" max="7" width="13.85546875" style="562" bestFit="1" customWidth="1"/>
    <col min="8" max="8" width="2" style="562" bestFit="1" customWidth="1"/>
    <col min="9" max="9" width="14.7109375" style="562" bestFit="1" customWidth="1"/>
    <col min="10" max="10" width="12.85546875" style="581" bestFit="1" customWidth="1"/>
    <col min="11" max="11" width="18" style="560" customWidth="1"/>
    <col min="12" max="256" width="10.85546875" style="562"/>
    <col min="257" max="257" width="7.28515625" style="562" customWidth="1"/>
    <col min="258" max="258" width="50.85546875" style="562" customWidth="1"/>
    <col min="259" max="259" width="14.7109375" style="562" bestFit="1" customWidth="1"/>
    <col min="260" max="260" width="4.28515625" style="562" customWidth="1"/>
    <col min="261" max="261" width="14.7109375" style="562" bestFit="1" customWidth="1"/>
    <col min="262" max="262" width="2" style="562" bestFit="1" customWidth="1"/>
    <col min="263" max="263" width="13.85546875" style="562" bestFit="1" customWidth="1"/>
    <col min="264" max="264" width="2" style="562" bestFit="1" customWidth="1"/>
    <col min="265" max="265" width="14.7109375" style="562" bestFit="1" customWidth="1"/>
    <col min="266" max="266" width="12.85546875" style="562" bestFit="1" customWidth="1"/>
    <col min="267" max="267" width="18" style="562" customWidth="1"/>
    <col min="268" max="512" width="10.85546875" style="562"/>
    <col min="513" max="513" width="7.28515625" style="562" customWidth="1"/>
    <col min="514" max="514" width="50.85546875" style="562" customWidth="1"/>
    <col min="515" max="515" width="14.7109375" style="562" bestFit="1" customWidth="1"/>
    <col min="516" max="516" width="4.28515625" style="562" customWidth="1"/>
    <col min="517" max="517" width="14.7109375" style="562" bestFit="1" customWidth="1"/>
    <col min="518" max="518" width="2" style="562" bestFit="1" customWidth="1"/>
    <col min="519" max="519" width="13.85546875" style="562" bestFit="1" customWidth="1"/>
    <col min="520" max="520" width="2" style="562" bestFit="1" customWidth="1"/>
    <col min="521" max="521" width="14.7109375" style="562" bestFit="1" customWidth="1"/>
    <col min="522" max="522" width="12.85546875" style="562" bestFit="1" customWidth="1"/>
    <col min="523" max="523" width="18" style="562" customWidth="1"/>
    <col min="524" max="768" width="10.85546875" style="562"/>
    <col min="769" max="769" width="7.28515625" style="562" customWidth="1"/>
    <col min="770" max="770" width="50.85546875" style="562" customWidth="1"/>
    <col min="771" max="771" width="14.7109375" style="562" bestFit="1" customWidth="1"/>
    <col min="772" max="772" width="4.28515625" style="562" customWidth="1"/>
    <col min="773" max="773" width="14.7109375" style="562" bestFit="1" customWidth="1"/>
    <col min="774" max="774" width="2" style="562" bestFit="1" customWidth="1"/>
    <col min="775" max="775" width="13.85546875" style="562" bestFit="1" customWidth="1"/>
    <col min="776" max="776" width="2" style="562" bestFit="1" customWidth="1"/>
    <col min="777" max="777" width="14.7109375" style="562" bestFit="1" customWidth="1"/>
    <col min="778" max="778" width="12.85546875" style="562" bestFit="1" customWidth="1"/>
    <col min="779" max="779" width="18" style="562" customWidth="1"/>
    <col min="780" max="1024" width="10.85546875" style="562"/>
    <col min="1025" max="1025" width="7.28515625" style="562" customWidth="1"/>
    <col min="1026" max="1026" width="50.85546875" style="562" customWidth="1"/>
    <col min="1027" max="1027" width="14.7109375" style="562" bestFit="1" customWidth="1"/>
    <col min="1028" max="1028" width="4.28515625" style="562" customWidth="1"/>
    <col min="1029" max="1029" width="14.7109375" style="562" bestFit="1" customWidth="1"/>
    <col min="1030" max="1030" width="2" style="562" bestFit="1" customWidth="1"/>
    <col min="1031" max="1031" width="13.85546875" style="562" bestFit="1" customWidth="1"/>
    <col min="1032" max="1032" width="2" style="562" bestFit="1" customWidth="1"/>
    <col min="1033" max="1033" width="14.7109375" style="562" bestFit="1" customWidth="1"/>
    <col min="1034" max="1034" width="12.85546875" style="562" bestFit="1" customWidth="1"/>
    <col min="1035" max="1035" width="18" style="562" customWidth="1"/>
    <col min="1036" max="1280" width="10.85546875" style="562"/>
    <col min="1281" max="1281" width="7.28515625" style="562" customWidth="1"/>
    <col min="1282" max="1282" width="50.85546875" style="562" customWidth="1"/>
    <col min="1283" max="1283" width="14.7109375" style="562" bestFit="1" customWidth="1"/>
    <col min="1284" max="1284" width="4.28515625" style="562" customWidth="1"/>
    <col min="1285" max="1285" width="14.7109375" style="562" bestFit="1" customWidth="1"/>
    <col min="1286" max="1286" width="2" style="562" bestFit="1" customWidth="1"/>
    <col min="1287" max="1287" width="13.85546875" style="562" bestFit="1" customWidth="1"/>
    <col min="1288" max="1288" width="2" style="562" bestFit="1" customWidth="1"/>
    <col min="1289" max="1289" width="14.7109375" style="562" bestFit="1" customWidth="1"/>
    <col min="1290" max="1290" width="12.85546875" style="562" bestFit="1" customWidth="1"/>
    <col min="1291" max="1291" width="18" style="562" customWidth="1"/>
    <col min="1292" max="1536" width="10.85546875" style="562"/>
    <col min="1537" max="1537" width="7.28515625" style="562" customWidth="1"/>
    <col min="1538" max="1538" width="50.85546875" style="562" customWidth="1"/>
    <col min="1539" max="1539" width="14.7109375" style="562" bestFit="1" customWidth="1"/>
    <col min="1540" max="1540" width="4.28515625" style="562" customWidth="1"/>
    <col min="1541" max="1541" width="14.7109375" style="562" bestFit="1" customWidth="1"/>
    <col min="1542" max="1542" width="2" style="562" bestFit="1" customWidth="1"/>
    <col min="1543" max="1543" width="13.85546875" style="562" bestFit="1" customWidth="1"/>
    <col min="1544" max="1544" width="2" style="562" bestFit="1" customWidth="1"/>
    <col min="1545" max="1545" width="14.7109375" style="562" bestFit="1" customWidth="1"/>
    <col min="1546" max="1546" width="12.85546875" style="562" bestFit="1" customWidth="1"/>
    <col min="1547" max="1547" width="18" style="562" customWidth="1"/>
    <col min="1548" max="1792" width="10.85546875" style="562"/>
    <col min="1793" max="1793" width="7.28515625" style="562" customWidth="1"/>
    <col min="1794" max="1794" width="50.85546875" style="562" customWidth="1"/>
    <col min="1795" max="1795" width="14.7109375" style="562" bestFit="1" customWidth="1"/>
    <col min="1796" max="1796" width="4.28515625" style="562" customWidth="1"/>
    <col min="1797" max="1797" width="14.7109375" style="562" bestFit="1" customWidth="1"/>
    <col min="1798" max="1798" width="2" style="562" bestFit="1" customWidth="1"/>
    <col min="1799" max="1799" width="13.85546875" style="562" bestFit="1" customWidth="1"/>
    <col min="1800" max="1800" width="2" style="562" bestFit="1" customWidth="1"/>
    <col min="1801" max="1801" width="14.7109375" style="562" bestFit="1" customWidth="1"/>
    <col min="1802" max="1802" width="12.85546875" style="562" bestFit="1" customWidth="1"/>
    <col min="1803" max="1803" width="18" style="562" customWidth="1"/>
    <col min="1804" max="2048" width="10.85546875" style="562"/>
    <col min="2049" max="2049" width="7.28515625" style="562" customWidth="1"/>
    <col min="2050" max="2050" width="50.85546875" style="562" customWidth="1"/>
    <col min="2051" max="2051" width="14.7109375" style="562" bestFit="1" customWidth="1"/>
    <col min="2052" max="2052" width="4.28515625" style="562" customWidth="1"/>
    <col min="2053" max="2053" width="14.7109375" style="562" bestFit="1" customWidth="1"/>
    <col min="2054" max="2054" width="2" style="562" bestFit="1" customWidth="1"/>
    <col min="2055" max="2055" width="13.85546875" style="562" bestFit="1" customWidth="1"/>
    <col min="2056" max="2056" width="2" style="562" bestFit="1" customWidth="1"/>
    <col min="2057" max="2057" width="14.7109375" style="562" bestFit="1" customWidth="1"/>
    <col min="2058" max="2058" width="12.85546875" style="562" bestFit="1" customWidth="1"/>
    <col min="2059" max="2059" width="18" style="562" customWidth="1"/>
    <col min="2060" max="2304" width="10.85546875" style="562"/>
    <col min="2305" max="2305" width="7.28515625" style="562" customWidth="1"/>
    <col min="2306" max="2306" width="50.85546875" style="562" customWidth="1"/>
    <col min="2307" max="2307" width="14.7109375" style="562" bestFit="1" customWidth="1"/>
    <col min="2308" max="2308" width="4.28515625" style="562" customWidth="1"/>
    <col min="2309" max="2309" width="14.7109375" style="562" bestFit="1" customWidth="1"/>
    <col min="2310" max="2310" width="2" style="562" bestFit="1" customWidth="1"/>
    <col min="2311" max="2311" width="13.85546875" style="562" bestFit="1" customWidth="1"/>
    <col min="2312" max="2312" width="2" style="562" bestFit="1" customWidth="1"/>
    <col min="2313" max="2313" width="14.7109375" style="562" bestFit="1" customWidth="1"/>
    <col min="2314" max="2314" width="12.85546875" style="562" bestFit="1" customWidth="1"/>
    <col min="2315" max="2315" width="18" style="562" customWidth="1"/>
    <col min="2316" max="2560" width="10.85546875" style="562"/>
    <col min="2561" max="2561" width="7.28515625" style="562" customWidth="1"/>
    <col min="2562" max="2562" width="50.85546875" style="562" customWidth="1"/>
    <col min="2563" max="2563" width="14.7109375" style="562" bestFit="1" customWidth="1"/>
    <col min="2564" max="2564" width="4.28515625" style="562" customWidth="1"/>
    <col min="2565" max="2565" width="14.7109375" style="562" bestFit="1" customWidth="1"/>
    <col min="2566" max="2566" width="2" style="562" bestFit="1" customWidth="1"/>
    <col min="2567" max="2567" width="13.85546875" style="562" bestFit="1" customWidth="1"/>
    <col min="2568" max="2568" width="2" style="562" bestFit="1" customWidth="1"/>
    <col min="2569" max="2569" width="14.7109375" style="562" bestFit="1" customWidth="1"/>
    <col min="2570" max="2570" width="12.85546875" style="562" bestFit="1" customWidth="1"/>
    <col min="2571" max="2571" width="18" style="562" customWidth="1"/>
    <col min="2572" max="2816" width="10.85546875" style="562"/>
    <col min="2817" max="2817" width="7.28515625" style="562" customWidth="1"/>
    <col min="2818" max="2818" width="50.85546875" style="562" customWidth="1"/>
    <col min="2819" max="2819" width="14.7109375" style="562" bestFit="1" customWidth="1"/>
    <col min="2820" max="2820" width="4.28515625" style="562" customWidth="1"/>
    <col min="2821" max="2821" width="14.7109375" style="562" bestFit="1" customWidth="1"/>
    <col min="2822" max="2822" width="2" style="562" bestFit="1" customWidth="1"/>
    <col min="2823" max="2823" width="13.85546875" style="562" bestFit="1" customWidth="1"/>
    <col min="2824" max="2824" width="2" style="562" bestFit="1" customWidth="1"/>
    <col min="2825" max="2825" width="14.7109375" style="562" bestFit="1" customWidth="1"/>
    <col min="2826" max="2826" width="12.85546875" style="562" bestFit="1" customWidth="1"/>
    <col min="2827" max="2827" width="18" style="562" customWidth="1"/>
    <col min="2828" max="3072" width="10.85546875" style="562"/>
    <col min="3073" max="3073" width="7.28515625" style="562" customWidth="1"/>
    <col min="3074" max="3074" width="50.85546875" style="562" customWidth="1"/>
    <col min="3075" max="3075" width="14.7109375" style="562" bestFit="1" customWidth="1"/>
    <col min="3076" max="3076" width="4.28515625" style="562" customWidth="1"/>
    <col min="3077" max="3077" width="14.7109375" style="562" bestFit="1" customWidth="1"/>
    <col min="3078" max="3078" width="2" style="562" bestFit="1" customWidth="1"/>
    <col min="3079" max="3079" width="13.85546875" style="562" bestFit="1" customWidth="1"/>
    <col min="3080" max="3080" width="2" style="562" bestFit="1" customWidth="1"/>
    <col min="3081" max="3081" width="14.7109375" style="562" bestFit="1" customWidth="1"/>
    <col min="3082" max="3082" width="12.85546875" style="562" bestFit="1" customWidth="1"/>
    <col min="3083" max="3083" width="18" style="562" customWidth="1"/>
    <col min="3084" max="3328" width="10.85546875" style="562"/>
    <col min="3329" max="3329" width="7.28515625" style="562" customWidth="1"/>
    <col min="3330" max="3330" width="50.85546875" style="562" customWidth="1"/>
    <col min="3331" max="3331" width="14.7109375" style="562" bestFit="1" customWidth="1"/>
    <col min="3332" max="3332" width="4.28515625" style="562" customWidth="1"/>
    <col min="3333" max="3333" width="14.7109375" style="562" bestFit="1" customWidth="1"/>
    <col min="3334" max="3334" width="2" style="562" bestFit="1" customWidth="1"/>
    <col min="3335" max="3335" width="13.85546875" style="562" bestFit="1" customWidth="1"/>
    <col min="3336" max="3336" width="2" style="562" bestFit="1" customWidth="1"/>
    <col min="3337" max="3337" width="14.7109375" style="562" bestFit="1" customWidth="1"/>
    <col min="3338" max="3338" width="12.85546875" style="562" bestFit="1" customWidth="1"/>
    <col min="3339" max="3339" width="18" style="562" customWidth="1"/>
    <col min="3340" max="3584" width="10.85546875" style="562"/>
    <col min="3585" max="3585" width="7.28515625" style="562" customWidth="1"/>
    <col min="3586" max="3586" width="50.85546875" style="562" customWidth="1"/>
    <col min="3587" max="3587" width="14.7109375" style="562" bestFit="1" customWidth="1"/>
    <col min="3588" max="3588" width="4.28515625" style="562" customWidth="1"/>
    <col min="3589" max="3589" width="14.7109375" style="562" bestFit="1" customWidth="1"/>
    <col min="3590" max="3590" width="2" style="562" bestFit="1" customWidth="1"/>
    <col min="3591" max="3591" width="13.85546875" style="562" bestFit="1" customWidth="1"/>
    <col min="3592" max="3592" width="2" style="562" bestFit="1" customWidth="1"/>
    <col min="3593" max="3593" width="14.7109375" style="562" bestFit="1" customWidth="1"/>
    <col min="3594" max="3594" width="12.85546875" style="562" bestFit="1" customWidth="1"/>
    <col min="3595" max="3595" width="18" style="562" customWidth="1"/>
    <col min="3596" max="3840" width="10.85546875" style="562"/>
    <col min="3841" max="3841" width="7.28515625" style="562" customWidth="1"/>
    <col min="3842" max="3842" width="50.85546875" style="562" customWidth="1"/>
    <col min="3843" max="3843" width="14.7109375" style="562" bestFit="1" customWidth="1"/>
    <col min="3844" max="3844" width="4.28515625" style="562" customWidth="1"/>
    <col min="3845" max="3845" width="14.7109375" style="562" bestFit="1" customWidth="1"/>
    <col min="3846" max="3846" width="2" style="562" bestFit="1" customWidth="1"/>
    <col min="3847" max="3847" width="13.85546875" style="562" bestFit="1" customWidth="1"/>
    <col min="3848" max="3848" width="2" style="562" bestFit="1" customWidth="1"/>
    <col min="3849" max="3849" width="14.7109375" style="562" bestFit="1" customWidth="1"/>
    <col min="3850" max="3850" width="12.85546875" style="562" bestFit="1" customWidth="1"/>
    <col min="3851" max="3851" width="18" style="562" customWidth="1"/>
    <col min="3852" max="4096" width="10.85546875" style="562"/>
    <col min="4097" max="4097" width="7.28515625" style="562" customWidth="1"/>
    <col min="4098" max="4098" width="50.85546875" style="562" customWidth="1"/>
    <col min="4099" max="4099" width="14.7109375" style="562" bestFit="1" customWidth="1"/>
    <col min="4100" max="4100" width="4.28515625" style="562" customWidth="1"/>
    <col min="4101" max="4101" width="14.7109375" style="562" bestFit="1" customWidth="1"/>
    <col min="4102" max="4102" width="2" style="562" bestFit="1" customWidth="1"/>
    <col min="4103" max="4103" width="13.85546875" style="562" bestFit="1" customWidth="1"/>
    <col min="4104" max="4104" width="2" style="562" bestFit="1" customWidth="1"/>
    <col min="4105" max="4105" width="14.7109375" style="562" bestFit="1" customWidth="1"/>
    <col min="4106" max="4106" width="12.85546875" style="562" bestFit="1" customWidth="1"/>
    <col min="4107" max="4107" width="18" style="562" customWidth="1"/>
    <col min="4108" max="4352" width="10.85546875" style="562"/>
    <col min="4353" max="4353" width="7.28515625" style="562" customWidth="1"/>
    <col min="4354" max="4354" width="50.85546875" style="562" customWidth="1"/>
    <col min="4355" max="4355" width="14.7109375" style="562" bestFit="1" customWidth="1"/>
    <col min="4356" max="4356" width="4.28515625" style="562" customWidth="1"/>
    <col min="4357" max="4357" width="14.7109375" style="562" bestFit="1" customWidth="1"/>
    <col min="4358" max="4358" width="2" style="562" bestFit="1" customWidth="1"/>
    <col min="4359" max="4359" width="13.85546875" style="562" bestFit="1" customWidth="1"/>
    <col min="4360" max="4360" width="2" style="562" bestFit="1" customWidth="1"/>
    <col min="4361" max="4361" width="14.7109375" style="562" bestFit="1" customWidth="1"/>
    <col min="4362" max="4362" width="12.85546875" style="562" bestFit="1" customWidth="1"/>
    <col min="4363" max="4363" width="18" style="562" customWidth="1"/>
    <col min="4364" max="4608" width="10.85546875" style="562"/>
    <col min="4609" max="4609" width="7.28515625" style="562" customWidth="1"/>
    <col min="4610" max="4610" width="50.85546875" style="562" customWidth="1"/>
    <col min="4611" max="4611" width="14.7109375" style="562" bestFit="1" customWidth="1"/>
    <col min="4612" max="4612" width="4.28515625" style="562" customWidth="1"/>
    <col min="4613" max="4613" width="14.7109375" style="562" bestFit="1" customWidth="1"/>
    <col min="4614" max="4614" width="2" style="562" bestFit="1" customWidth="1"/>
    <col min="4615" max="4615" width="13.85546875" style="562" bestFit="1" customWidth="1"/>
    <col min="4616" max="4616" width="2" style="562" bestFit="1" customWidth="1"/>
    <col min="4617" max="4617" width="14.7109375" style="562" bestFit="1" customWidth="1"/>
    <col min="4618" max="4618" width="12.85546875" style="562" bestFit="1" customWidth="1"/>
    <col min="4619" max="4619" width="18" style="562" customWidth="1"/>
    <col min="4620" max="4864" width="10.85546875" style="562"/>
    <col min="4865" max="4865" width="7.28515625" style="562" customWidth="1"/>
    <col min="4866" max="4866" width="50.85546875" style="562" customWidth="1"/>
    <col min="4867" max="4867" width="14.7109375" style="562" bestFit="1" customWidth="1"/>
    <col min="4868" max="4868" width="4.28515625" style="562" customWidth="1"/>
    <col min="4869" max="4869" width="14.7109375" style="562" bestFit="1" customWidth="1"/>
    <col min="4870" max="4870" width="2" style="562" bestFit="1" customWidth="1"/>
    <col min="4871" max="4871" width="13.85546875" style="562" bestFit="1" customWidth="1"/>
    <col min="4872" max="4872" width="2" style="562" bestFit="1" customWidth="1"/>
    <col min="4873" max="4873" width="14.7109375" style="562" bestFit="1" customWidth="1"/>
    <col min="4874" max="4874" width="12.85546875" style="562" bestFit="1" customWidth="1"/>
    <col min="4875" max="4875" width="18" style="562" customWidth="1"/>
    <col min="4876" max="5120" width="10.85546875" style="562"/>
    <col min="5121" max="5121" width="7.28515625" style="562" customWidth="1"/>
    <col min="5122" max="5122" width="50.85546875" style="562" customWidth="1"/>
    <col min="5123" max="5123" width="14.7109375" style="562" bestFit="1" customWidth="1"/>
    <col min="5124" max="5124" width="4.28515625" style="562" customWidth="1"/>
    <col min="5125" max="5125" width="14.7109375" style="562" bestFit="1" customWidth="1"/>
    <col min="5126" max="5126" width="2" style="562" bestFit="1" customWidth="1"/>
    <col min="5127" max="5127" width="13.85546875" style="562" bestFit="1" customWidth="1"/>
    <col min="5128" max="5128" width="2" style="562" bestFit="1" customWidth="1"/>
    <col min="5129" max="5129" width="14.7109375" style="562" bestFit="1" customWidth="1"/>
    <col min="5130" max="5130" width="12.85546875" style="562" bestFit="1" customWidth="1"/>
    <col min="5131" max="5131" width="18" style="562" customWidth="1"/>
    <col min="5132" max="5376" width="10.85546875" style="562"/>
    <col min="5377" max="5377" width="7.28515625" style="562" customWidth="1"/>
    <col min="5378" max="5378" width="50.85546875" style="562" customWidth="1"/>
    <col min="5379" max="5379" width="14.7109375" style="562" bestFit="1" customWidth="1"/>
    <col min="5380" max="5380" width="4.28515625" style="562" customWidth="1"/>
    <col min="5381" max="5381" width="14.7109375" style="562" bestFit="1" customWidth="1"/>
    <col min="5382" max="5382" width="2" style="562" bestFit="1" customWidth="1"/>
    <col min="5383" max="5383" width="13.85546875" style="562" bestFit="1" customWidth="1"/>
    <col min="5384" max="5384" width="2" style="562" bestFit="1" customWidth="1"/>
    <col min="5385" max="5385" width="14.7109375" style="562" bestFit="1" customWidth="1"/>
    <col min="5386" max="5386" width="12.85546875" style="562" bestFit="1" customWidth="1"/>
    <col min="5387" max="5387" width="18" style="562" customWidth="1"/>
    <col min="5388" max="5632" width="10.85546875" style="562"/>
    <col min="5633" max="5633" width="7.28515625" style="562" customWidth="1"/>
    <col min="5634" max="5634" width="50.85546875" style="562" customWidth="1"/>
    <col min="5635" max="5635" width="14.7109375" style="562" bestFit="1" customWidth="1"/>
    <col min="5636" max="5636" width="4.28515625" style="562" customWidth="1"/>
    <col min="5637" max="5637" width="14.7109375" style="562" bestFit="1" customWidth="1"/>
    <col min="5638" max="5638" width="2" style="562" bestFit="1" customWidth="1"/>
    <col min="5639" max="5639" width="13.85546875" style="562" bestFit="1" customWidth="1"/>
    <col min="5640" max="5640" width="2" style="562" bestFit="1" customWidth="1"/>
    <col min="5641" max="5641" width="14.7109375" style="562" bestFit="1" customWidth="1"/>
    <col min="5642" max="5642" width="12.85546875" style="562" bestFit="1" customWidth="1"/>
    <col min="5643" max="5643" width="18" style="562" customWidth="1"/>
    <col min="5644" max="5888" width="10.85546875" style="562"/>
    <col min="5889" max="5889" width="7.28515625" style="562" customWidth="1"/>
    <col min="5890" max="5890" width="50.85546875" style="562" customWidth="1"/>
    <col min="5891" max="5891" width="14.7109375" style="562" bestFit="1" customWidth="1"/>
    <col min="5892" max="5892" width="4.28515625" style="562" customWidth="1"/>
    <col min="5893" max="5893" width="14.7109375" style="562" bestFit="1" customWidth="1"/>
    <col min="5894" max="5894" width="2" style="562" bestFit="1" customWidth="1"/>
    <col min="5895" max="5895" width="13.85546875" style="562" bestFit="1" customWidth="1"/>
    <col min="5896" max="5896" width="2" style="562" bestFit="1" customWidth="1"/>
    <col min="5897" max="5897" width="14.7109375" style="562" bestFit="1" customWidth="1"/>
    <col min="5898" max="5898" width="12.85546875" style="562" bestFit="1" customWidth="1"/>
    <col min="5899" max="5899" width="18" style="562" customWidth="1"/>
    <col min="5900" max="6144" width="10.85546875" style="562"/>
    <col min="6145" max="6145" width="7.28515625" style="562" customWidth="1"/>
    <col min="6146" max="6146" width="50.85546875" style="562" customWidth="1"/>
    <col min="6147" max="6147" width="14.7109375" style="562" bestFit="1" customWidth="1"/>
    <col min="6148" max="6148" width="4.28515625" style="562" customWidth="1"/>
    <col min="6149" max="6149" width="14.7109375" style="562" bestFit="1" customWidth="1"/>
    <col min="6150" max="6150" width="2" style="562" bestFit="1" customWidth="1"/>
    <col min="6151" max="6151" width="13.85546875" style="562" bestFit="1" customWidth="1"/>
    <col min="6152" max="6152" width="2" style="562" bestFit="1" customWidth="1"/>
    <col min="6153" max="6153" width="14.7109375" style="562" bestFit="1" customWidth="1"/>
    <col min="6154" max="6154" width="12.85546875" style="562" bestFit="1" customWidth="1"/>
    <col min="6155" max="6155" width="18" style="562" customWidth="1"/>
    <col min="6156" max="6400" width="10.85546875" style="562"/>
    <col min="6401" max="6401" width="7.28515625" style="562" customWidth="1"/>
    <col min="6402" max="6402" width="50.85546875" style="562" customWidth="1"/>
    <col min="6403" max="6403" width="14.7109375" style="562" bestFit="1" customWidth="1"/>
    <col min="6404" max="6404" width="4.28515625" style="562" customWidth="1"/>
    <col min="6405" max="6405" width="14.7109375" style="562" bestFit="1" customWidth="1"/>
    <col min="6406" max="6406" width="2" style="562" bestFit="1" customWidth="1"/>
    <col min="6407" max="6407" width="13.85546875" style="562" bestFit="1" customWidth="1"/>
    <col min="6408" max="6408" width="2" style="562" bestFit="1" customWidth="1"/>
    <col min="6409" max="6409" width="14.7109375" style="562" bestFit="1" customWidth="1"/>
    <col min="6410" max="6410" width="12.85546875" style="562" bestFit="1" customWidth="1"/>
    <col min="6411" max="6411" width="18" style="562" customWidth="1"/>
    <col min="6412" max="6656" width="10.85546875" style="562"/>
    <col min="6657" max="6657" width="7.28515625" style="562" customWidth="1"/>
    <col min="6658" max="6658" width="50.85546875" style="562" customWidth="1"/>
    <col min="6659" max="6659" width="14.7109375" style="562" bestFit="1" customWidth="1"/>
    <col min="6660" max="6660" width="4.28515625" style="562" customWidth="1"/>
    <col min="6661" max="6661" width="14.7109375" style="562" bestFit="1" customWidth="1"/>
    <col min="6662" max="6662" width="2" style="562" bestFit="1" customWidth="1"/>
    <col min="6663" max="6663" width="13.85546875" style="562" bestFit="1" customWidth="1"/>
    <col min="6664" max="6664" width="2" style="562" bestFit="1" customWidth="1"/>
    <col min="6665" max="6665" width="14.7109375" style="562" bestFit="1" customWidth="1"/>
    <col min="6666" max="6666" width="12.85546875" style="562" bestFit="1" customWidth="1"/>
    <col min="6667" max="6667" width="18" style="562" customWidth="1"/>
    <col min="6668" max="6912" width="10.85546875" style="562"/>
    <col min="6913" max="6913" width="7.28515625" style="562" customWidth="1"/>
    <col min="6914" max="6914" width="50.85546875" style="562" customWidth="1"/>
    <col min="6915" max="6915" width="14.7109375" style="562" bestFit="1" customWidth="1"/>
    <col min="6916" max="6916" width="4.28515625" style="562" customWidth="1"/>
    <col min="6917" max="6917" width="14.7109375" style="562" bestFit="1" customWidth="1"/>
    <col min="6918" max="6918" width="2" style="562" bestFit="1" customWidth="1"/>
    <col min="6919" max="6919" width="13.85546875" style="562" bestFit="1" customWidth="1"/>
    <col min="6920" max="6920" width="2" style="562" bestFit="1" customWidth="1"/>
    <col min="6921" max="6921" width="14.7109375" style="562" bestFit="1" customWidth="1"/>
    <col min="6922" max="6922" width="12.85546875" style="562" bestFit="1" customWidth="1"/>
    <col min="6923" max="6923" width="18" style="562" customWidth="1"/>
    <col min="6924" max="7168" width="10.85546875" style="562"/>
    <col min="7169" max="7169" width="7.28515625" style="562" customWidth="1"/>
    <col min="7170" max="7170" width="50.85546875" style="562" customWidth="1"/>
    <col min="7171" max="7171" width="14.7109375" style="562" bestFit="1" customWidth="1"/>
    <col min="7172" max="7172" width="4.28515625" style="562" customWidth="1"/>
    <col min="7173" max="7173" width="14.7109375" style="562" bestFit="1" customWidth="1"/>
    <col min="7174" max="7174" width="2" style="562" bestFit="1" customWidth="1"/>
    <col min="7175" max="7175" width="13.85546875" style="562" bestFit="1" customWidth="1"/>
    <col min="7176" max="7176" width="2" style="562" bestFit="1" customWidth="1"/>
    <col min="7177" max="7177" width="14.7109375" style="562" bestFit="1" customWidth="1"/>
    <col min="7178" max="7178" width="12.85546875" style="562" bestFit="1" customWidth="1"/>
    <col min="7179" max="7179" width="18" style="562" customWidth="1"/>
    <col min="7180" max="7424" width="10.85546875" style="562"/>
    <col min="7425" max="7425" width="7.28515625" style="562" customWidth="1"/>
    <col min="7426" max="7426" width="50.85546875" style="562" customWidth="1"/>
    <col min="7427" max="7427" width="14.7109375" style="562" bestFit="1" customWidth="1"/>
    <col min="7428" max="7428" width="4.28515625" style="562" customWidth="1"/>
    <col min="7429" max="7429" width="14.7109375" style="562" bestFit="1" customWidth="1"/>
    <col min="7430" max="7430" width="2" style="562" bestFit="1" customWidth="1"/>
    <col min="7431" max="7431" width="13.85546875" style="562" bestFit="1" customWidth="1"/>
    <col min="7432" max="7432" width="2" style="562" bestFit="1" customWidth="1"/>
    <col min="7433" max="7433" width="14.7109375" style="562" bestFit="1" customWidth="1"/>
    <col min="7434" max="7434" width="12.85546875" style="562" bestFit="1" customWidth="1"/>
    <col min="7435" max="7435" width="18" style="562" customWidth="1"/>
    <col min="7436" max="7680" width="10.85546875" style="562"/>
    <col min="7681" max="7681" width="7.28515625" style="562" customWidth="1"/>
    <col min="7682" max="7682" width="50.85546875" style="562" customWidth="1"/>
    <col min="7683" max="7683" width="14.7109375" style="562" bestFit="1" customWidth="1"/>
    <col min="7684" max="7684" width="4.28515625" style="562" customWidth="1"/>
    <col min="7685" max="7685" width="14.7109375" style="562" bestFit="1" customWidth="1"/>
    <col min="7686" max="7686" width="2" style="562" bestFit="1" customWidth="1"/>
    <col min="7687" max="7687" width="13.85546875" style="562" bestFit="1" customWidth="1"/>
    <col min="7688" max="7688" width="2" style="562" bestFit="1" customWidth="1"/>
    <col min="7689" max="7689" width="14.7109375" style="562" bestFit="1" customWidth="1"/>
    <col min="7690" max="7690" width="12.85546875" style="562" bestFit="1" customWidth="1"/>
    <col min="7691" max="7691" width="18" style="562" customWidth="1"/>
    <col min="7692" max="7936" width="10.85546875" style="562"/>
    <col min="7937" max="7937" width="7.28515625" style="562" customWidth="1"/>
    <col min="7938" max="7938" width="50.85546875" style="562" customWidth="1"/>
    <col min="7939" max="7939" width="14.7109375" style="562" bestFit="1" customWidth="1"/>
    <col min="7940" max="7940" width="4.28515625" style="562" customWidth="1"/>
    <col min="7941" max="7941" width="14.7109375" style="562" bestFit="1" customWidth="1"/>
    <col min="7942" max="7942" width="2" style="562" bestFit="1" customWidth="1"/>
    <col min="7943" max="7943" width="13.85546875" style="562" bestFit="1" customWidth="1"/>
    <col min="7944" max="7944" width="2" style="562" bestFit="1" customWidth="1"/>
    <col min="7945" max="7945" width="14.7109375" style="562" bestFit="1" customWidth="1"/>
    <col min="7946" max="7946" width="12.85546875" style="562" bestFit="1" customWidth="1"/>
    <col min="7947" max="7947" width="18" style="562" customWidth="1"/>
    <col min="7948" max="8192" width="10.85546875" style="562"/>
    <col min="8193" max="8193" width="7.28515625" style="562" customWidth="1"/>
    <col min="8194" max="8194" width="50.85546875" style="562" customWidth="1"/>
    <col min="8195" max="8195" width="14.7109375" style="562" bestFit="1" customWidth="1"/>
    <col min="8196" max="8196" width="4.28515625" style="562" customWidth="1"/>
    <col min="8197" max="8197" width="14.7109375" style="562" bestFit="1" customWidth="1"/>
    <col min="8198" max="8198" width="2" style="562" bestFit="1" customWidth="1"/>
    <col min="8199" max="8199" width="13.85546875" style="562" bestFit="1" customWidth="1"/>
    <col min="8200" max="8200" width="2" style="562" bestFit="1" customWidth="1"/>
    <col min="8201" max="8201" width="14.7109375" style="562" bestFit="1" customWidth="1"/>
    <col min="8202" max="8202" width="12.85546875" style="562" bestFit="1" customWidth="1"/>
    <col min="8203" max="8203" width="18" style="562" customWidth="1"/>
    <col min="8204" max="8448" width="10.85546875" style="562"/>
    <col min="8449" max="8449" width="7.28515625" style="562" customWidth="1"/>
    <col min="8450" max="8450" width="50.85546875" style="562" customWidth="1"/>
    <col min="8451" max="8451" width="14.7109375" style="562" bestFit="1" customWidth="1"/>
    <col min="8452" max="8452" width="4.28515625" style="562" customWidth="1"/>
    <col min="8453" max="8453" width="14.7109375" style="562" bestFit="1" customWidth="1"/>
    <col min="8454" max="8454" width="2" style="562" bestFit="1" customWidth="1"/>
    <col min="8455" max="8455" width="13.85546875" style="562" bestFit="1" customWidth="1"/>
    <col min="8456" max="8456" width="2" style="562" bestFit="1" customWidth="1"/>
    <col min="8457" max="8457" width="14.7109375" style="562" bestFit="1" customWidth="1"/>
    <col min="8458" max="8458" width="12.85546875" style="562" bestFit="1" customWidth="1"/>
    <col min="8459" max="8459" width="18" style="562" customWidth="1"/>
    <col min="8460" max="8704" width="10.85546875" style="562"/>
    <col min="8705" max="8705" width="7.28515625" style="562" customWidth="1"/>
    <col min="8706" max="8706" width="50.85546875" style="562" customWidth="1"/>
    <col min="8707" max="8707" width="14.7109375" style="562" bestFit="1" customWidth="1"/>
    <col min="8708" max="8708" width="4.28515625" style="562" customWidth="1"/>
    <col min="8709" max="8709" width="14.7109375" style="562" bestFit="1" customWidth="1"/>
    <col min="8710" max="8710" width="2" style="562" bestFit="1" customWidth="1"/>
    <col min="8711" max="8711" width="13.85546875" style="562" bestFit="1" customWidth="1"/>
    <col min="8712" max="8712" width="2" style="562" bestFit="1" customWidth="1"/>
    <col min="8713" max="8713" width="14.7109375" style="562" bestFit="1" customWidth="1"/>
    <col min="8714" max="8714" width="12.85546875" style="562" bestFit="1" customWidth="1"/>
    <col min="8715" max="8715" width="18" style="562" customWidth="1"/>
    <col min="8716" max="8960" width="10.85546875" style="562"/>
    <col min="8961" max="8961" width="7.28515625" style="562" customWidth="1"/>
    <col min="8962" max="8962" width="50.85546875" style="562" customWidth="1"/>
    <col min="8963" max="8963" width="14.7109375" style="562" bestFit="1" customWidth="1"/>
    <col min="8964" max="8964" width="4.28515625" style="562" customWidth="1"/>
    <col min="8965" max="8965" width="14.7109375" style="562" bestFit="1" customWidth="1"/>
    <col min="8966" max="8966" width="2" style="562" bestFit="1" customWidth="1"/>
    <col min="8967" max="8967" width="13.85546875" style="562" bestFit="1" customWidth="1"/>
    <col min="8968" max="8968" width="2" style="562" bestFit="1" customWidth="1"/>
    <col min="8969" max="8969" width="14.7109375" style="562" bestFit="1" customWidth="1"/>
    <col min="8970" max="8970" width="12.85546875" style="562" bestFit="1" customWidth="1"/>
    <col min="8971" max="8971" width="18" style="562" customWidth="1"/>
    <col min="8972" max="9216" width="10.85546875" style="562"/>
    <col min="9217" max="9217" width="7.28515625" style="562" customWidth="1"/>
    <col min="9218" max="9218" width="50.85546875" style="562" customWidth="1"/>
    <col min="9219" max="9219" width="14.7109375" style="562" bestFit="1" customWidth="1"/>
    <col min="9220" max="9220" width="4.28515625" style="562" customWidth="1"/>
    <col min="9221" max="9221" width="14.7109375" style="562" bestFit="1" customWidth="1"/>
    <col min="9222" max="9222" width="2" style="562" bestFit="1" customWidth="1"/>
    <col min="9223" max="9223" width="13.85546875" style="562" bestFit="1" customWidth="1"/>
    <col min="9224" max="9224" width="2" style="562" bestFit="1" customWidth="1"/>
    <col min="9225" max="9225" width="14.7109375" style="562" bestFit="1" customWidth="1"/>
    <col min="9226" max="9226" width="12.85546875" style="562" bestFit="1" customWidth="1"/>
    <col min="9227" max="9227" width="18" style="562" customWidth="1"/>
    <col min="9228" max="9472" width="10.85546875" style="562"/>
    <col min="9473" max="9473" width="7.28515625" style="562" customWidth="1"/>
    <col min="9474" max="9474" width="50.85546875" style="562" customWidth="1"/>
    <col min="9475" max="9475" width="14.7109375" style="562" bestFit="1" customWidth="1"/>
    <col min="9476" max="9476" width="4.28515625" style="562" customWidth="1"/>
    <col min="9477" max="9477" width="14.7109375" style="562" bestFit="1" customWidth="1"/>
    <col min="9478" max="9478" width="2" style="562" bestFit="1" customWidth="1"/>
    <col min="9479" max="9479" width="13.85546875" style="562" bestFit="1" customWidth="1"/>
    <col min="9480" max="9480" width="2" style="562" bestFit="1" customWidth="1"/>
    <col min="9481" max="9481" width="14.7109375" style="562" bestFit="1" customWidth="1"/>
    <col min="9482" max="9482" width="12.85546875" style="562" bestFit="1" customWidth="1"/>
    <col min="9483" max="9483" width="18" style="562" customWidth="1"/>
    <col min="9484" max="9728" width="10.85546875" style="562"/>
    <col min="9729" max="9729" width="7.28515625" style="562" customWidth="1"/>
    <col min="9730" max="9730" width="50.85546875" style="562" customWidth="1"/>
    <col min="9731" max="9731" width="14.7109375" style="562" bestFit="1" customWidth="1"/>
    <col min="9732" max="9732" width="4.28515625" style="562" customWidth="1"/>
    <col min="9733" max="9733" width="14.7109375" style="562" bestFit="1" customWidth="1"/>
    <col min="9734" max="9734" width="2" style="562" bestFit="1" customWidth="1"/>
    <col min="9735" max="9735" width="13.85546875" style="562" bestFit="1" customWidth="1"/>
    <col min="9736" max="9736" width="2" style="562" bestFit="1" customWidth="1"/>
    <col min="9737" max="9737" width="14.7109375" style="562" bestFit="1" customWidth="1"/>
    <col min="9738" max="9738" width="12.85546875" style="562" bestFit="1" customWidth="1"/>
    <col min="9739" max="9739" width="18" style="562" customWidth="1"/>
    <col min="9740" max="9984" width="10.85546875" style="562"/>
    <col min="9985" max="9985" width="7.28515625" style="562" customWidth="1"/>
    <col min="9986" max="9986" width="50.85546875" style="562" customWidth="1"/>
    <col min="9987" max="9987" width="14.7109375" style="562" bestFit="1" customWidth="1"/>
    <col min="9988" max="9988" width="4.28515625" style="562" customWidth="1"/>
    <col min="9989" max="9989" width="14.7109375" style="562" bestFit="1" customWidth="1"/>
    <col min="9990" max="9990" width="2" style="562" bestFit="1" customWidth="1"/>
    <col min="9991" max="9991" width="13.85546875" style="562" bestFit="1" customWidth="1"/>
    <col min="9992" max="9992" width="2" style="562" bestFit="1" customWidth="1"/>
    <col min="9993" max="9993" width="14.7109375" style="562" bestFit="1" customWidth="1"/>
    <col min="9994" max="9994" width="12.85546875" style="562" bestFit="1" customWidth="1"/>
    <col min="9995" max="9995" width="18" style="562" customWidth="1"/>
    <col min="9996" max="10240" width="10.85546875" style="562"/>
    <col min="10241" max="10241" width="7.28515625" style="562" customWidth="1"/>
    <col min="10242" max="10242" width="50.85546875" style="562" customWidth="1"/>
    <col min="10243" max="10243" width="14.7109375" style="562" bestFit="1" customWidth="1"/>
    <col min="10244" max="10244" width="4.28515625" style="562" customWidth="1"/>
    <col min="10245" max="10245" width="14.7109375" style="562" bestFit="1" customWidth="1"/>
    <col min="10246" max="10246" width="2" style="562" bestFit="1" customWidth="1"/>
    <col min="10247" max="10247" width="13.85546875" style="562" bestFit="1" customWidth="1"/>
    <col min="10248" max="10248" width="2" style="562" bestFit="1" customWidth="1"/>
    <col min="10249" max="10249" width="14.7109375" style="562" bestFit="1" customWidth="1"/>
    <col min="10250" max="10250" width="12.85546875" style="562" bestFit="1" customWidth="1"/>
    <col min="10251" max="10251" width="18" style="562" customWidth="1"/>
    <col min="10252" max="10496" width="10.85546875" style="562"/>
    <col min="10497" max="10497" width="7.28515625" style="562" customWidth="1"/>
    <col min="10498" max="10498" width="50.85546875" style="562" customWidth="1"/>
    <col min="10499" max="10499" width="14.7109375" style="562" bestFit="1" customWidth="1"/>
    <col min="10500" max="10500" width="4.28515625" style="562" customWidth="1"/>
    <col min="10501" max="10501" width="14.7109375" style="562" bestFit="1" customWidth="1"/>
    <col min="10502" max="10502" width="2" style="562" bestFit="1" customWidth="1"/>
    <col min="10503" max="10503" width="13.85546875" style="562" bestFit="1" customWidth="1"/>
    <col min="10504" max="10504" width="2" style="562" bestFit="1" customWidth="1"/>
    <col min="10505" max="10505" width="14.7109375" style="562" bestFit="1" customWidth="1"/>
    <col min="10506" max="10506" width="12.85546875" style="562" bestFit="1" customWidth="1"/>
    <col min="10507" max="10507" width="18" style="562" customWidth="1"/>
    <col min="10508" max="10752" width="10.85546875" style="562"/>
    <col min="10753" max="10753" width="7.28515625" style="562" customWidth="1"/>
    <col min="10754" max="10754" width="50.85546875" style="562" customWidth="1"/>
    <col min="10755" max="10755" width="14.7109375" style="562" bestFit="1" customWidth="1"/>
    <col min="10756" max="10756" width="4.28515625" style="562" customWidth="1"/>
    <col min="10757" max="10757" width="14.7109375" style="562" bestFit="1" customWidth="1"/>
    <col min="10758" max="10758" width="2" style="562" bestFit="1" customWidth="1"/>
    <col min="10759" max="10759" width="13.85546875" style="562" bestFit="1" customWidth="1"/>
    <col min="10760" max="10760" width="2" style="562" bestFit="1" customWidth="1"/>
    <col min="10761" max="10761" width="14.7109375" style="562" bestFit="1" customWidth="1"/>
    <col min="10762" max="10762" width="12.85546875" style="562" bestFit="1" customWidth="1"/>
    <col min="10763" max="10763" width="18" style="562" customWidth="1"/>
    <col min="10764" max="11008" width="10.85546875" style="562"/>
    <col min="11009" max="11009" width="7.28515625" style="562" customWidth="1"/>
    <col min="11010" max="11010" width="50.85546875" style="562" customWidth="1"/>
    <col min="11011" max="11011" width="14.7109375" style="562" bestFit="1" customWidth="1"/>
    <col min="11012" max="11012" width="4.28515625" style="562" customWidth="1"/>
    <col min="11013" max="11013" width="14.7109375" style="562" bestFit="1" customWidth="1"/>
    <col min="11014" max="11014" width="2" style="562" bestFit="1" customWidth="1"/>
    <col min="11015" max="11015" width="13.85546875" style="562" bestFit="1" customWidth="1"/>
    <col min="11016" max="11016" width="2" style="562" bestFit="1" customWidth="1"/>
    <col min="11017" max="11017" width="14.7109375" style="562" bestFit="1" customWidth="1"/>
    <col min="11018" max="11018" width="12.85546875" style="562" bestFit="1" customWidth="1"/>
    <col min="11019" max="11019" width="18" style="562" customWidth="1"/>
    <col min="11020" max="11264" width="10.85546875" style="562"/>
    <col min="11265" max="11265" width="7.28515625" style="562" customWidth="1"/>
    <col min="11266" max="11266" width="50.85546875" style="562" customWidth="1"/>
    <col min="11267" max="11267" width="14.7109375" style="562" bestFit="1" customWidth="1"/>
    <col min="11268" max="11268" width="4.28515625" style="562" customWidth="1"/>
    <col min="11269" max="11269" width="14.7109375" style="562" bestFit="1" customWidth="1"/>
    <col min="11270" max="11270" width="2" style="562" bestFit="1" customWidth="1"/>
    <col min="11271" max="11271" width="13.85546875" style="562" bestFit="1" customWidth="1"/>
    <col min="11272" max="11272" width="2" style="562" bestFit="1" customWidth="1"/>
    <col min="11273" max="11273" width="14.7109375" style="562" bestFit="1" customWidth="1"/>
    <col min="11274" max="11274" width="12.85546875" style="562" bestFit="1" customWidth="1"/>
    <col min="11275" max="11275" width="18" style="562" customWidth="1"/>
    <col min="11276" max="11520" width="10.85546875" style="562"/>
    <col min="11521" max="11521" width="7.28515625" style="562" customWidth="1"/>
    <col min="11522" max="11522" width="50.85546875" style="562" customWidth="1"/>
    <col min="11523" max="11523" width="14.7109375" style="562" bestFit="1" customWidth="1"/>
    <col min="11524" max="11524" width="4.28515625" style="562" customWidth="1"/>
    <col min="11525" max="11525" width="14.7109375" style="562" bestFit="1" customWidth="1"/>
    <col min="11526" max="11526" width="2" style="562" bestFit="1" customWidth="1"/>
    <col min="11527" max="11527" width="13.85546875" style="562" bestFit="1" customWidth="1"/>
    <col min="11528" max="11528" width="2" style="562" bestFit="1" customWidth="1"/>
    <col min="11529" max="11529" width="14.7109375" style="562" bestFit="1" customWidth="1"/>
    <col min="11530" max="11530" width="12.85546875" style="562" bestFit="1" customWidth="1"/>
    <col min="11531" max="11531" width="18" style="562" customWidth="1"/>
    <col min="11532" max="11776" width="10.85546875" style="562"/>
    <col min="11777" max="11777" width="7.28515625" style="562" customWidth="1"/>
    <col min="11778" max="11778" width="50.85546875" style="562" customWidth="1"/>
    <col min="11779" max="11779" width="14.7109375" style="562" bestFit="1" customWidth="1"/>
    <col min="11780" max="11780" width="4.28515625" style="562" customWidth="1"/>
    <col min="11781" max="11781" width="14.7109375" style="562" bestFit="1" customWidth="1"/>
    <col min="11782" max="11782" width="2" style="562" bestFit="1" customWidth="1"/>
    <col min="11783" max="11783" width="13.85546875" style="562" bestFit="1" customWidth="1"/>
    <col min="11784" max="11784" width="2" style="562" bestFit="1" customWidth="1"/>
    <col min="11785" max="11785" width="14.7109375" style="562" bestFit="1" customWidth="1"/>
    <col min="11786" max="11786" width="12.85546875" style="562" bestFit="1" customWidth="1"/>
    <col min="11787" max="11787" width="18" style="562" customWidth="1"/>
    <col min="11788" max="12032" width="10.85546875" style="562"/>
    <col min="12033" max="12033" width="7.28515625" style="562" customWidth="1"/>
    <col min="12034" max="12034" width="50.85546875" style="562" customWidth="1"/>
    <col min="12035" max="12035" width="14.7109375" style="562" bestFit="1" customWidth="1"/>
    <col min="12036" max="12036" width="4.28515625" style="562" customWidth="1"/>
    <col min="12037" max="12037" width="14.7109375" style="562" bestFit="1" customWidth="1"/>
    <col min="12038" max="12038" width="2" style="562" bestFit="1" customWidth="1"/>
    <col min="12039" max="12039" width="13.85546875" style="562" bestFit="1" customWidth="1"/>
    <col min="12040" max="12040" width="2" style="562" bestFit="1" customWidth="1"/>
    <col min="12041" max="12041" width="14.7109375" style="562" bestFit="1" customWidth="1"/>
    <col min="12042" max="12042" width="12.85546875" style="562" bestFit="1" customWidth="1"/>
    <col min="12043" max="12043" width="18" style="562" customWidth="1"/>
    <col min="12044" max="12288" width="10.85546875" style="562"/>
    <col min="12289" max="12289" width="7.28515625" style="562" customWidth="1"/>
    <col min="12290" max="12290" width="50.85546875" style="562" customWidth="1"/>
    <col min="12291" max="12291" width="14.7109375" style="562" bestFit="1" customWidth="1"/>
    <col min="12292" max="12292" width="4.28515625" style="562" customWidth="1"/>
    <col min="12293" max="12293" width="14.7109375" style="562" bestFit="1" customWidth="1"/>
    <col min="12294" max="12294" width="2" style="562" bestFit="1" customWidth="1"/>
    <col min="12295" max="12295" width="13.85546875" style="562" bestFit="1" customWidth="1"/>
    <col min="12296" max="12296" width="2" style="562" bestFit="1" customWidth="1"/>
    <col min="12297" max="12297" width="14.7109375" style="562" bestFit="1" customWidth="1"/>
    <col min="12298" max="12298" width="12.85546875" style="562" bestFit="1" customWidth="1"/>
    <col min="12299" max="12299" width="18" style="562" customWidth="1"/>
    <col min="12300" max="12544" width="10.85546875" style="562"/>
    <col min="12545" max="12545" width="7.28515625" style="562" customWidth="1"/>
    <col min="12546" max="12546" width="50.85546875" style="562" customWidth="1"/>
    <col min="12547" max="12547" width="14.7109375" style="562" bestFit="1" customWidth="1"/>
    <col min="12548" max="12548" width="4.28515625" style="562" customWidth="1"/>
    <col min="12549" max="12549" width="14.7109375" style="562" bestFit="1" customWidth="1"/>
    <col min="12550" max="12550" width="2" style="562" bestFit="1" customWidth="1"/>
    <col min="12551" max="12551" width="13.85546875" style="562" bestFit="1" customWidth="1"/>
    <col min="12552" max="12552" width="2" style="562" bestFit="1" customWidth="1"/>
    <col min="12553" max="12553" width="14.7109375" style="562" bestFit="1" customWidth="1"/>
    <col min="12554" max="12554" width="12.85546875" style="562" bestFit="1" customWidth="1"/>
    <col min="12555" max="12555" width="18" style="562" customWidth="1"/>
    <col min="12556" max="12800" width="10.85546875" style="562"/>
    <col min="12801" max="12801" width="7.28515625" style="562" customWidth="1"/>
    <col min="12802" max="12802" width="50.85546875" style="562" customWidth="1"/>
    <col min="12803" max="12803" width="14.7109375" style="562" bestFit="1" customWidth="1"/>
    <col min="12804" max="12804" width="4.28515625" style="562" customWidth="1"/>
    <col min="12805" max="12805" width="14.7109375" style="562" bestFit="1" customWidth="1"/>
    <col min="12806" max="12806" width="2" style="562" bestFit="1" customWidth="1"/>
    <col min="12807" max="12807" width="13.85546875" style="562" bestFit="1" customWidth="1"/>
    <col min="12808" max="12808" width="2" style="562" bestFit="1" customWidth="1"/>
    <col min="12809" max="12809" width="14.7109375" style="562" bestFit="1" customWidth="1"/>
    <col min="12810" max="12810" width="12.85546875" style="562" bestFit="1" customWidth="1"/>
    <col min="12811" max="12811" width="18" style="562" customWidth="1"/>
    <col min="12812" max="13056" width="10.85546875" style="562"/>
    <col min="13057" max="13057" width="7.28515625" style="562" customWidth="1"/>
    <col min="13058" max="13058" width="50.85546875" style="562" customWidth="1"/>
    <col min="13059" max="13059" width="14.7109375" style="562" bestFit="1" customWidth="1"/>
    <col min="13060" max="13060" width="4.28515625" style="562" customWidth="1"/>
    <col min="13061" max="13061" width="14.7109375" style="562" bestFit="1" customWidth="1"/>
    <col min="13062" max="13062" width="2" style="562" bestFit="1" customWidth="1"/>
    <col min="13063" max="13063" width="13.85546875" style="562" bestFit="1" customWidth="1"/>
    <col min="13064" max="13064" width="2" style="562" bestFit="1" customWidth="1"/>
    <col min="13065" max="13065" width="14.7109375" style="562" bestFit="1" customWidth="1"/>
    <col min="13066" max="13066" width="12.85546875" style="562" bestFit="1" customWidth="1"/>
    <col min="13067" max="13067" width="18" style="562" customWidth="1"/>
    <col min="13068" max="13312" width="10.85546875" style="562"/>
    <col min="13313" max="13313" width="7.28515625" style="562" customWidth="1"/>
    <col min="13314" max="13314" width="50.85546875" style="562" customWidth="1"/>
    <col min="13315" max="13315" width="14.7109375" style="562" bestFit="1" customWidth="1"/>
    <col min="13316" max="13316" width="4.28515625" style="562" customWidth="1"/>
    <col min="13317" max="13317" width="14.7109375" style="562" bestFit="1" customWidth="1"/>
    <col min="13318" max="13318" width="2" style="562" bestFit="1" customWidth="1"/>
    <col min="13319" max="13319" width="13.85546875" style="562" bestFit="1" customWidth="1"/>
    <col min="13320" max="13320" width="2" style="562" bestFit="1" customWidth="1"/>
    <col min="13321" max="13321" width="14.7109375" style="562" bestFit="1" customWidth="1"/>
    <col min="13322" max="13322" width="12.85546875" style="562" bestFit="1" customWidth="1"/>
    <col min="13323" max="13323" width="18" style="562" customWidth="1"/>
    <col min="13324" max="13568" width="10.85546875" style="562"/>
    <col min="13569" max="13569" width="7.28515625" style="562" customWidth="1"/>
    <col min="13570" max="13570" width="50.85546875" style="562" customWidth="1"/>
    <col min="13571" max="13571" width="14.7109375" style="562" bestFit="1" customWidth="1"/>
    <col min="13572" max="13572" width="4.28515625" style="562" customWidth="1"/>
    <col min="13573" max="13573" width="14.7109375" style="562" bestFit="1" customWidth="1"/>
    <col min="13574" max="13574" width="2" style="562" bestFit="1" customWidth="1"/>
    <col min="13575" max="13575" width="13.85546875" style="562" bestFit="1" customWidth="1"/>
    <col min="13576" max="13576" width="2" style="562" bestFit="1" customWidth="1"/>
    <col min="13577" max="13577" width="14.7109375" style="562" bestFit="1" customWidth="1"/>
    <col min="13578" max="13578" width="12.85546875" style="562" bestFit="1" customWidth="1"/>
    <col min="13579" max="13579" width="18" style="562" customWidth="1"/>
    <col min="13580" max="13824" width="10.85546875" style="562"/>
    <col min="13825" max="13825" width="7.28515625" style="562" customWidth="1"/>
    <col min="13826" max="13826" width="50.85546875" style="562" customWidth="1"/>
    <col min="13827" max="13827" width="14.7109375" style="562" bestFit="1" customWidth="1"/>
    <col min="13828" max="13828" width="4.28515625" style="562" customWidth="1"/>
    <col min="13829" max="13829" width="14.7109375" style="562" bestFit="1" customWidth="1"/>
    <col min="13830" max="13830" width="2" style="562" bestFit="1" customWidth="1"/>
    <col min="13831" max="13831" width="13.85546875" style="562" bestFit="1" customWidth="1"/>
    <col min="13832" max="13832" width="2" style="562" bestFit="1" customWidth="1"/>
    <col min="13833" max="13833" width="14.7109375" style="562" bestFit="1" customWidth="1"/>
    <col min="13834" max="13834" width="12.85546875" style="562" bestFit="1" customWidth="1"/>
    <col min="13835" max="13835" width="18" style="562" customWidth="1"/>
    <col min="13836" max="14080" width="10.85546875" style="562"/>
    <col min="14081" max="14081" width="7.28515625" style="562" customWidth="1"/>
    <col min="14082" max="14082" width="50.85546875" style="562" customWidth="1"/>
    <col min="14083" max="14083" width="14.7109375" style="562" bestFit="1" customWidth="1"/>
    <col min="14084" max="14084" width="4.28515625" style="562" customWidth="1"/>
    <col min="14085" max="14085" width="14.7109375" style="562" bestFit="1" customWidth="1"/>
    <col min="14086" max="14086" width="2" style="562" bestFit="1" customWidth="1"/>
    <col min="14087" max="14087" width="13.85546875" style="562" bestFit="1" customWidth="1"/>
    <col min="14088" max="14088" width="2" style="562" bestFit="1" customWidth="1"/>
    <col min="14089" max="14089" width="14.7109375" style="562" bestFit="1" customWidth="1"/>
    <col min="14090" max="14090" width="12.85546875" style="562" bestFit="1" customWidth="1"/>
    <col min="14091" max="14091" width="18" style="562" customWidth="1"/>
    <col min="14092" max="14336" width="10.85546875" style="562"/>
    <col min="14337" max="14337" width="7.28515625" style="562" customWidth="1"/>
    <col min="14338" max="14338" width="50.85546875" style="562" customWidth="1"/>
    <col min="14339" max="14339" width="14.7109375" style="562" bestFit="1" customWidth="1"/>
    <col min="14340" max="14340" width="4.28515625" style="562" customWidth="1"/>
    <col min="14341" max="14341" width="14.7109375" style="562" bestFit="1" customWidth="1"/>
    <col min="14342" max="14342" width="2" style="562" bestFit="1" customWidth="1"/>
    <col min="14343" max="14343" width="13.85546875" style="562" bestFit="1" customWidth="1"/>
    <col min="14344" max="14344" width="2" style="562" bestFit="1" customWidth="1"/>
    <col min="14345" max="14345" width="14.7109375" style="562" bestFit="1" customWidth="1"/>
    <col min="14346" max="14346" width="12.85546875" style="562" bestFit="1" customWidth="1"/>
    <col min="14347" max="14347" width="18" style="562" customWidth="1"/>
    <col min="14348" max="14592" width="10.85546875" style="562"/>
    <col min="14593" max="14593" width="7.28515625" style="562" customWidth="1"/>
    <col min="14594" max="14594" width="50.85546875" style="562" customWidth="1"/>
    <col min="14595" max="14595" width="14.7109375" style="562" bestFit="1" customWidth="1"/>
    <col min="14596" max="14596" width="4.28515625" style="562" customWidth="1"/>
    <col min="14597" max="14597" width="14.7109375" style="562" bestFit="1" customWidth="1"/>
    <col min="14598" max="14598" width="2" style="562" bestFit="1" customWidth="1"/>
    <col min="14599" max="14599" width="13.85546875" style="562" bestFit="1" customWidth="1"/>
    <col min="14600" max="14600" width="2" style="562" bestFit="1" customWidth="1"/>
    <col min="14601" max="14601" width="14.7109375" style="562" bestFit="1" customWidth="1"/>
    <col min="14602" max="14602" width="12.85546875" style="562" bestFit="1" customWidth="1"/>
    <col min="14603" max="14603" width="18" style="562" customWidth="1"/>
    <col min="14604" max="14848" width="10.85546875" style="562"/>
    <col min="14849" max="14849" width="7.28515625" style="562" customWidth="1"/>
    <col min="14850" max="14850" width="50.85546875" style="562" customWidth="1"/>
    <col min="14851" max="14851" width="14.7109375" style="562" bestFit="1" customWidth="1"/>
    <col min="14852" max="14852" width="4.28515625" style="562" customWidth="1"/>
    <col min="14853" max="14853" width="14.7109375" style="562" bestFit="1" customWidth="1"/>
    <col min="14854" max="14854" width="2" style="562" bestFit="1" customWidth="1"/>
    <col min="14855" max="14855" width="13.85546875" style="562" bestFit="1" customWidth="1"/>
    <col min="14856" max="14856" width="2" style="562" bestFit="1" customWidth="1"/>
    <col min="14857" max="14857" width="14.7109375" style="562" bestFit="1" customWidth="1"/>
    <col min="14858" max="14858" width="12.85546875" style="562" bestFit="1" customWidth="1"/>
    <col min="14859" max="14859" width="18" style="562" customWidth="1"/>
    <col min="14860" max="15104" width="10.85546875" style="562"/>
    <col min="15105" max="15105" width="7.28515625" style="562" customWidth="1"/>
    <col min="15106" max="15106" width="50.85546875" style="562" customWidth="1"/>
    <col min="15107" max="15107" width="14.7109375" style="562" bestFit="1" customWidth="1"/>
    <col min="15108" max="15108" width="4.28515625" style="562" customWidth="1"/>
    <col min="15109" max="15109" width="14.7109375" style="562" bestFit="1" customWidth="1"/>
    <col min="15110" max="15110" width="2" style="562" bestFit="1" customWidth="1"/>
    <col min="15111" max="15111" width="13.85546875" style="562" bestFit="1" customWidth="1"/>
    <col min="15112" max="15112" width="2" style="562" bestFit="1" customWidth="1"/>
    <col min="15113" max="15113" width="14.7109375" style="562" bestFit="1" customWidth="1"/>
    <col min="15114" max="15114" width="12.85546875" style="562" bestFit="1" customWidth="1"/>
    <col min="15115" max="15115" width="18" style="562" customWidth="1"/>
    <col min="15116" max="15360" width="10.85546875" style="562"/>
    <col min="15361" max="15361" width="7.28515625" style="562" customWidth="1"/>
    <col min="15362" max="15362" width="50.85546875" style="562" customWidth="1"/>
    <col min="15363" max="15363" width="14.7109375" style="562" bestFit="1" customWidth="1"/>
    <col min="15364" max="15364" width="4.28515625" style="562" customWidth="1"/>
    <col min="15365" max="15365" width="14.7109375" style="562" bestFit="1" customWidth="1"/>
    <col min="15366" max="15366" width="2" style="562" bestFit="1" customWidth="1"/>
    <col min="15367" max="15367" width="13.85546875" style="562" bestFit="1" customWidth="1"/>
    <col min="15368" max="15368" width="2" style="562" bestFit="1" customWidth="1"/>
    <col min="15369" max="15369" width="14.7109375" style="562" bestFit="1" customWidth="1"/>
    <col min="15370" max="15370" width="12.85546875" style="562" bestFit="1" customWidth="1"/>
    <col min="15371" max="15371" width="18" style="562" customWidth="1"/>
    <col min="15372" max="15616" width="10.85546875" style="562"/>
    <col min="15617" max="15617" width="7.28515625" style="562" customWidth="1"/>
    <col min="15618" max="15618" width="50.85546875" style="562" customWidth="1"/>
    <col min="15619" max="15619" width="14.7109375" style="562" bestFit="1" customWidth="1"/>
    <col min="15620" max="15620" width="4.28515625" style="562" customWidth="1"/>
    <col min="15621" max="15621" width="14.7109375" style="562" bestFit="1" customWidth="1"/>
    <col min="15622" max="15622" width="2" style="562" bestFit="1" customWidth="1"/>
    <col min="15623" max="15623" width="13.85546875" style="562" bestFit="1" customWidth="1"/>
    <col min="15624" max="15624" width="2" style="562" bestFit="1" customWidth="1"/>
    <col min="15625" max="15625" width="14.7109375" style="562" bestFit="1" customWidth="1"/>
    <col min="15626" max="15626" width="12.85546875" style="562" bestFit="1" customWidth="1"/>
    <col min="15627" max="15627" width="18" style="562" customWidth="1"/>
    <col min="15628" max="15872" width="10.85546875" style="562"/>
    <col min="15873" max="15873" width="7.28515625" style="562" customWidth="1"/>
    <col min="15874" max="15874" width="50.85546875" style="562" customWidth="1"/>
    <col min="15875" max="15875" width="14.7109375" style="562" bestFit="1" customWidth="1"/>
    <col min="15876" max="15876" width="4.28515625" style="562" customWidth="1"/>
    <col min="15877" max="15877" width="14.7109375" style="562" bestFit="1" customWidth="1"/>
    <col min="15878" max="15878" width="2" style="562" bestFit="1" customWidth="1"/>
    <col min="15879" max="15879" width="13.85546875" style="562" bestFit="1" customWidth="1"/>
    <col min="15880" max="15880" width="2" style="562" bestFit="1" customWidth="1"/>
    <col min="15881" max="15881" width="14.7109375" style="562" bestFit="1" customWidth="1"/>
    <col min="15882" max="15882" width="12.85546875" style="562" bestFit="1" customWidth="1"/>
    <col min="15883" max="15883" width="18" style="562" customWidth="1"/>
    <col min="15884" max="16128" width="10.85546875" style="562"/>
    <col min="16129" max="16129" width="7.28515625" style="562" customWidth="1"/>
    <col min="16130" max="16130" width="50.85546875" style="562" customWidth="1"/>
    <col min="16131" max="16131" width="14.7109375" style="562" bestFit="1" customWidth="1"/>
    <col min="16132" max="16132" width="4.28515625" style="562" customWidth="1"/>
    <col min="16133" max="16133" width="14.7109375" style="562" bestFit="1" customWidth="1"/>
    <col min="16134" max="16134" width="2" style="562" bestFit="1" customWidth="1"/>
    <col min="16135" max="16135" width="13.85546875" style="562" bestFit="1" customWidth="1"/>
    <col min="16136" max="16136" width="2" style="562" bestFit="1" customWidth="1"/>
    <col min="16137" max="16137" width="14.7109375" style="562" bestFit="1" customWidth="1"/>
    <col min="16138" max="16138" width="12.85546875" style="562" bestFit="1" customWidth="1"/>
    <col min="16139" max="16139" width="18" style="562" customWidth="1"/>
    <col min="16140" max="16384" width="10.85546875" style="562"/>
  </cols>
  <sheetData>
    <row r="1" spans="1:11" ht="50.25" customHeight="1" x14ac:dyDescent="0.2">
      <c r="A1" s="1079" t="s">
        <v>4102</v>
      </c>
      <c r="B1" s="1080"/>
      <c r="C1" s="1080"/>
      <c r="D1" s="1080"/>
      <c r="E1" s="1080"/>
      <c r="F1" s="1080"/>
      <c r="G1" s="1080"/>
      <c r="H1" s="1080"/>
      <c r="I1" s="1080"/>
      <c r="J1" s="1080"/>
    </row>
    <row r="3" spans="1:11" s="560" customFormat="1" ht="22.5" x14ac:dyDescent="0.2">
      <c r="A3" s="554" t="s">
        <v>974</v>
      </c>
      <c r="B3" s="554" t="s">
        <v>2357</v>
      </c>
      <c r="C3" s="555" t="s">
        <v>90</v>
      </c>
      <c r="D3" s="556"/>
      <c r="E3" s="555" t="s">
        <v>91</v>
      </c>
      <c r="F3" s="557"/>
      <c r="G3" s="555" t="s">
        <v>694</v>
      </c>
      <c r="H3" s="557"/>
      <c r="I3" s="555" t="s">
        <v>1500</v>
      </c>
      <c r="J3" s="558" t="s">
        <v>2662</v>
      </c>
      <c r="K3" s="559"/>
    </row>
    <row r="4" spans="1:11" x14ac:dyDescent="0.2">
      <c r="A4" s="554"/>
      <c r="B4" s="554"/>
      <c r="C4" s="555"/>
      <c r="D4" s="556"/>
      <c r="E4" s="555"/>
      <c r="F4" s="557"/>
      <c r="G4" s="555"/>
      <c r="H4" s="557"/>
      <c r="I4" s="555"/>
      <c r="J4" s="558"/>
      <c r="K4" s="561"/>
    </row>
    <row r="5" spans="1:11" x14ac:dyDescent="0.2">
      <c r="A5" s="554">
        <v>1</v>
      </c>
      <c r="B5" s="563" t="s">
        <v>86</v>
      </c>
      <c r="C5" s="564">
        <f>SUM(C6:C12)</f>
        <v>272704035086.43002</v>
      </c>
      <c r="D5" s="565"/>
      <c r="E5" s="564">
        <f>SUM(E6:E12)</f>
        <v>132182704768.90999</v>
      </c>
      <c r="F5" s="564"/>
      <c r="G5" s="564">
        <f>SUM(G6:G12)</f>
        <v>9775005733.1700001</v>
      </c>
      <c r="H5" s="564"/>
      <c r="I5" s="564">
        <f>SUM(I6:I12)</f>
        <v>130746324584.35002</v>
      </c>
      <c r="J5" s="566">
        <f>(G5+E5)/C5</f>
        <v>0.52055595897980877</v>
      </c>
      <c r="K5" s="567"/>
    </row>
    <row r="6" spans="1:11" x14ac:dyDescent="0.2">
      <c r="A6" s="554"/>
      <c r="B6" s="568" t="s">
        <v>94</v>
      </c>
      <c r="C6" s="569">
        <v>90611050428.300003</v>
      </c>
      <c r="E6" s="569">
        <v>45839210460.989998</v>
      </c>
      <c r="F6" s="571"/>
      <c r="G6" s="569">
        <v>1018734786.35</v>
      </c>
      <c r="H6" s="571"/>
      <c r="I6" s="572">
        <f>C6-(E6+G6)</f>
        <v>43753105180.960007</v>
      </c>
      <c r="J6" s="566">
        <f>(G6+E6)/C6</f>
        <v>0.5171327892773786</v>
      </c>
      <c r="K6" s="561"/>
    </row>
    <row r="7" spans="1:11" x14ac:dyDescent="0.2">
      <c r="A7" s="554"/>
      <c r="B7" s="568" t="s">
        <v>95</v>
      </c>
      <c r="C7" s="569">
        <v>33698887973.049999</v>
      </c>
      <c r="D7" s="556"/>
      <c r="E7" s="569">
        <v>16266893341.34</v>
      </c>
      <c r="F7" s="571"/>
      <c r="G7" s="569">
        <v>965239704.12</v>
      </c>
      <c r="H7" s="571"/>
      <c r="I7" s="572">
        <f t="shared" ref="I7:I70" si="0">C7-(E7+G7)</f>
        <v>16466754927.59</v>
      </c>
      <c r="J7" s="566">
        <f>(G7+E7)/C7</f>
        <v>0.51135613315314876</v>
      </c>
      <c r="K7" s="561"/>
    </row>
    <row r="8" spans="1:11" x14ac:dyDescent="0.2">
      <c r="A8" s="554"/>
      <c r="B8" s="568" t="s">
        <v>392</v>
      </c>
      <c r="C8" s="569">
        <v>7538123300.7799997</v>
      </c>
      <c r="D8" s="556"/>
      <c r="E8" s="569">
        <v>3398242480.2199998</v>
      </c>
      <c r="F8" s="571"/>
      <c r="G8" s="569">
        <v>444062768.56</v>
      </c>
      <c r="H8" s="571"/>
      <c r="I8" s="572">
        <f t="shared" si="0"/>
        <v>3695818052</v>
      </c>
      <c r="J8" s="566">
        <f t="shared" ref="J8:J71" si="1">(G8+E8)/C8</f>
        <v>0.50971642350058421</v>
      </c>
      <c r="K8" s="561"/>
    </row>
    <row r="9" spans="1:11" x14ac:dyDescent="0.2">
      <c r="A9" s="554"/>
      <c r="B9" s="568" t="s">
        <v>96</v>
      </c>
      <c r="C9" s="569">
        <v>32473344364.59</v>
      </c>
      <c r="D9" s="556"/>
      <c r="E9" s="569">
        <v>17305403888.099998</v>
      </c>
      <c r="F9" s="571"/>
      <c r="G9" s="569">
        <v>196773383.13999999</v>
      </c>
      <c r="H9" s="571"/>
      <c r="I9" s="572">
        <f t="shared" si="0"/>
        <v>14971167093.350002</v>
      </c>
      <c r="J9" s="566">
        <f t="shared" si="1"/>
        <v>0.53897058075499438</v>
      </c>
      <c r="K9" s="561"/>
    </row>
    <row r="10" spans="1:11" x14ac:dyDescent="0.2">
      <c r="A10" s="554"/>
      <c r="B10" s="568" t="s">
        <v>97</v>
      </c>
      <c r="C10" s="569">
        <v>39976979917.550003</v>
      </c>
      <c r="D10" s="556"/>
      <c r="E10" s="569">
        <v>18541363010.310001</v>
      </c>
      <c r="F10" s="571"/>
      <c r="G10" s="569">
        <v>4320798950.1499996</v>
      </c>
      <c r="H10" s="571"/>
      <c r="I10" s="572">
        <f t="shared" si="0"/>
        <v>17114817957.090004</v>
      </c>
      <c r="J10" s="566">
        <f t="shared" si="1"/>
        <v>0.57188316895402713</v>
      </c>
      <c r="K10" s="561"/>
    </row>
    <row r="11" spans="1:11" x14ac:dyDescent="0.2">
      <c r="A11" s="554"/>
      <c r="B11" s="568" t="s">
        <v>98</v>
      </c>
      <c r="C11" s="569">
        <v>39522813200.470001</v>
      </c>
      <c r="D11" s="556"/>
      <c r="E11" s="569">
        <v>17149378238.940001</v>
      </c>
      <c r="F11" s="571"/>
      <c r="G11" s="569">
        <v>1929912190.54</v>
      </c>
      <c r="H11" s="571"/>
      <c r="I11" s="572">
        <f t="shared" si="0"/>
        <v>20443522770.990002</v>
      </c>
      <c r="J11" s="566">
        <f t="shared" si="1"/>
        <v>0.48274120399033515</v>
      </c>
      <c r="K11" s="561"/>
    </row>
    <row r="12" spans="1:11" x14ac:dyDescent="0.2">
      <c r="A12" s="554"/>
      <c r="B12" s="568" t="s">
        <v>99</v>
      </c>
      <c r="C12" s="569">
        <v>28882835901.689999</v>
      </c>
      <c r="D12" s="556"/>
      <c r="E12" s="569">
        <v>13682213349.01</v>
      </c>
      <c r="F12" s="571"/>
      <c r="G12" s="569">
        <v>899483950.30999994</v>
      </c>
      <c r="H12" s="571"/>
      <c r="I12" s="572">
        <f t="shared" si="0"/>
        <v>14301138602.369999</v>
      </c>
      <c r="J12" s="566">
        <f t="shared" si="1"/>
        <v>0.50485684123790597</v>
      </c>
      <c r="K12" s="561"/>
    </row>
    <row r="13" spans="1:11" x14ac:dyDescent="0.2">
      <c r="A13" s="554"/>
      <c r="B13" s="568"/>
      <c r="C13" s="569"/>
      <c r="D13" s="556"/>
      <c r="E13" s="569"/>
      <c r="F13" s="571"/>
      <c r="G13" s="569"/>
      <c r="H13" s="571"/>
      <c r="I13" s="564"/>
      <c r="J13" s="566"/>
      <c r="K13" s="561"/>
    </row>
    <row r="14" spans="1:11" x14ac:dyDescent="0.2">
      <c r="A14" s="554">
        <v>2</v>
      </c>
      <c r="B14" s="563" t="s">
        <v>323</v>
      </c>
      <c r="C14" s="564">
        <f>SUM(C15:C19)</f>
        <v>5500000000</v>
      </c>
      <c r="D14" s="565"/>
      <c r="E14" s="564">
        <f>SUM(E15:E19)</f>
        <v>1213820864.72</v>
      </c>
      <c r="F14" s="564"/>
      <c r="G14" s="564">
        <f>SUM(G15:G19)</f>
        <v>247223378.76999998</v>
      </c>
      <c r="H14" s="564"/>
      <c r="I14" s="564">
        <f>SUM(I15:I19)</f>
        <v>4038955756.5100002</v>
      </c>
      <c r="J14" s="566">
        <f t="shared" si="1"/>
        <v>0.26564440790727273</v>
      </c>
      <c r="K14" s="567"/>
    </row>
    <row r="15" spans="1:11" x14ac:dyDescent="0.2">
      <c r="A15" s="554"/>
      <c r="B15" s="568" t="s">
        <v>94</v>
      </c>
      <c r="C15" s="569">
        <v>482749575.30000001</v>
      </c>
      <c r="D15" s="556"/>
      <c r="E15" s="569">
        <v>128991995.86</v>
      </c>
      <c r="F15" s="571"/>
      <c r="G15" s="569">
        <v>56039121.670000002</v>
      </c>
      <c r="H15" s="571"/>
      <c r="I15" s="572">
        <f t="shared" si="0"/>
        <v>297718457.76999998</v>
      </c>
      <c r="J15" s="566">
        <f t="shared" si="1"/>
        <v>0.38328592503683556</v>
      </c>
      <c r="K15" s="561"/>
    </row>
    <row r="16" spans="1:11" x14ac:dyDescent="0.2">
      <c r="A16" s="554"/>
      <c r="B16" s="568" t="s">
        <v>95</v>
      </c>
      <c r="C16" s="569">
        <v>2895146360.9099998</v>
      </c>
      <c r="D16" s="556"/>
      <c r="E16" s="569">
        <v>760379240.38999999</v>
      </c>
      <c r="F16" s="571"/>
      <c r="G16" s="569">
        <v>127567689.91</v>
      </c>
      <c r="H16" s="571"/>
      <c r="I16" s="572">
        <f t="shared" si="0"/>
        <v>2007199430.6099999</v>
      </c>
      <c r="J16" s="566">
        <f t="shared" si="1"/>
        <v>0.30670191403411512</v>
      </c>
      <c r="K16" s="561"/>
    </row>
    <row r="17" spans="1:11" x14ac:dyDescent="0.2">
      <c r="A17" s="554"/>
      <c r="B17" s="568" t="s">
        <v>392</v>
      </c>
      <c r="C17" s="569">
        <v>1173292804.25</v>
      </c>
      <c r="D17" s="556"/>
      <c r="E17" s="569">
        <v>171368745.40000001</v>
      </c>
      <c r="F17" s="571"/>
      <c r="G17" s="569">
        <v>22013541</v>
      </c>
      <c r="H17" s="571"/>
      <c r="I17" s="572">
        <f t="shared" si="0"/>
        <v>979910517.85000002</v>
      </c>
      <c r="J17" s="566">
        <f t="shared" si="1"/>
        <v>0.16482014182607649</v>
      </c>
      <c r="K17" s="561"/>
    </row>
    <row r="18" spans="1:11" x14ac:dyDescent="0.2">
      <c r="A18" s="554"/>
      <c r="B18" s="568" t="s">
        <v>96</v>
      </c>
      <c r="C18" s="569">
        <v>274000000</v>
      </c>
      <c r="D18" s="556"/>
      <c r="E18" s="569">
        <v>29247892.859999999</v>
      </c>
      <c r="F18" s="571"/>
      <c r="G18" s="569">
        <v>26969648.68</v>
      </c>
      <c r="H18" s="571"/>
      <c r="I18" s="572">
        <f t="shared" si="0"/>
        <v>217782458.46000001</v>
      </c>
      <c r="J18" s="566">
        <f t="shared" si="1"/>
        <v>0.205173509270073</v>
      </c>
      <c r="K18" s="561"/>
    </row>
    <row r="19" spans="1:11" x14ac:dyDescent="0.2">
      <c r="A19" s="554"/>
      <c r="B19" s="568" t="s">
        <v>99</v>
      </c>
      <c r="C19" s="569">
        <v>674811259.53999996</v>
      </c>
      <c r="D19" s="556"/>
      <c r="E19" s="569">
        <v>123832990.20999999</v>
      </c>
      <c r="F19" s="571"/>
      <c r="G19" s="569">
        <v>14633377.51</v>
      </c>
      <c r="H19" s="571"/>
      <c r="I19" s="572">
        <f t="shared" si="0"/>
        <v>536344891.81999993</v>
      </c>
      <c r="J19" s="566">
        <f t="shared" si="1"/>
        <v>0.20519273465352172</v>
      </c>
      <c r="K19" s="561"/>
    </row>
    <row r="20" spans="1:11" x14ac:dyDescent="0.2">
      <c r="A20" s="554"/>
      <c r="B20" s="573"/>
      <c r="C20" s="569"/>
      <c r="D20" s="556"/>
      <c r="E20" s="569"/>
      <c r="F20" s="571"/>
      <c r="G20" s="569"/>
      <c r="H20" s="571"/>
      <c r="I20" s="564"/>
      <c r="J20" s="566"/>
      <c r="K20" s="561"/>
    </row>
    <row r="21" spans="1:11" x14ac:dyDescent="0.2">
      <c r="A21" s="554">
        <v>3</v>
      </c>
      <c r="B21" s="563" t="s">
        <v>389</v>
      </c>
      <c r="C21" s="564">
        <f>SUM(C22:C76)</f>
        <v>25968270848.57</v>
      </c>
      <c r="D21" s="565"/>
      <c r="E21" s="564">
        <f>SUM(E22:E76)</f>
        <v>3065479840.52</v>
      </c>
      <c r="F21" s="564"/>
      <c r="G21" s="564">
        <f>SUM(G22:G76)</f>
        <v>2480151225.8000002</v>
      </c>
      <c r="H21" s="564"/>
      <c r="I21" s="564">
        <f>SUM(I22:I76)</f>
        <v>20422639782.249996</v>
      </c>
      <c r="J21" s="566">
        <f t="shared" si="1"/>
        <v>0.21355411373589328</v>
      </c>
      <c r="K21" s="564"/>
    </row>
    <row r="22" spans="1:11" s="575" customFormat="1" x14ac:dyDescent="0.2">
      <c r="A22" s="554"/>
      <c r="B22" s="568" t="s">
        <v>2800</v>
      </c>
      <c r="C22" s="569">
        <v>550000000</v>
      </c>
      <c r="D22" s="574"/>
      <c r="E22" s="569">
        <v>0</v>
      </c>
      <c r="F22" s="571"/>
      <c r="G22" s="569">
        <v>0</v>
      </c>
      <c r="H22" s="571"/>
      <c r="I22" s="572">
        <f t="shared" si="0"/>
        <v>550000000</v>
      </c>
      <c r="J22" s="566">
        <f t="shared" si="1"/>
        <v>0</v>
      </c>
      <c r="K22" s="561"/>
    </row>
    <row r="23" spans="1:11" s="575" customFormat="1" x14ac:dyDescent="0.2">
      <c r="A23" s="554"/>
      <c r="B23" s="568" t="s">
        <v>3471</v>
      </c>
      <c r="C23" s="569">
        <v>330000000</v>
      </c>
      <c r="D23" s="574"/>
      <c r="E23" s="569">
        <v>0</v>
      </c>
      <c r="F23" s="571"/>
      <c r="G23" s="569">
        <v>0</v>
      </c>
      <c r="H23" s="571"/>
      <c r="I23" s="572">
        <f>C23-(E23+G23)</f>
        <v>330000000</v>
      </c>
      <c r="J23" s="566">
        <f>(G23+E23)/C23</f>
        <v>0</v>
      </c>
      <c r="K23" s="561"/>
    </row>
    <row r="24" spans="1:11" s="575" customFormat="1" ht="22.5" x14ac:dyDescent="0.2">
      <c r="A24" s="554"/>
      <c r="B24" s="568" t="s">
        <v>3472</v>
      </c>
      <c r="C24" s="569">
        <v>1000000000</v>
      </c>
      <c r="D24" s="574"/>
      <c r="E24" s="569">
        <v>0</v>
      </c>
      <c r="F24" s="571"/>
      <c r="G24" s="569">
        <v>0</v>
      </c>
      <c r="H24" s="571"/>
      <c r="I24" s="572">
        <f t="shared" si="0"/>
        <v>1000000000</v>
      </c>
      <c r="J24" s="566">
        <f t="shared" si="1"/>
        <v>0</v>
      </c>
      <c r="K24" s="561"/>
    </row>
    <row r="25" spans="1:11" s="575" customFormat="1" x14ac:dyDescent="0.2">
      <c r="A25" s="554"/>
      <c r="B25" s="568" t="s">
        <v>3473</v>
      </c>
      <c r="C25" s="569">
        <v>45000000</v>
      </c>
      <c r="D25" s="574"/>
      <c r="E25" s="569">
        <v>0</v>
      </c>
      <c r="F25" s="571"/>
      <c r="G25" s="569">
        <v>0</v>
      </c>
      <c r="H25" s="571"/>
      <c r="I25" s="572">
        <f t="shared" si="0"/>
        <v>45000000</v>
      </c>
      <c r="J25" s="566">
        <f t="shared" si="1"/>
        <v>0</v>
      </c>
      <c r="K25" s="561"/>
    </row>
    <row r="26" spans="1:11" s="575" customFormat="1" x14ac:dyDescent="0.2">
      <c r="A26" s="554"/>
      <c r="B26" s="568" t="s">
        <v>3474</v>
      </c>
      <c r="C26" s="569">
        <v>200400000</v>
      </c>
      <c r="D26" s="574"/>
      <c r="E26" s="569">
        <v>0</v>
      </c>
      <c r="F26" s="571"/>
      <c r="G26" s="569">
        <v>0</v>
      </c>
      <c r="H26" s="571"/>
      <c r="I26" s="572">
        <f t="shared" si="0"/>
        <v>200400000</v>
      </c>
      <c r="J26" s="566">
        <f t="shared" si="1"/>
        <v>0</v>
      </c>
      <c r="K26" s="561"/>
    </row>
    <row r="27" spans="1:11" s="575" customFormat="1" x14ac:dyDescent="0.2">
      <c r="A27" s="554"/>
      <c r="B27" s="568" t="s">
        <v>3475</v>
      </c>
      <c r="C27" s="569">
        <v>30000000</v>
      </c>
      <c r="D27" s="574"/>
      <c r="E27" s="569">
        <v>0</v>
      </c>
      <c r="F27" s="571"/>
      <c r="G27" s="569">
        <v>0</v>
      </c>
      <c r="H27" s="571"/>
      <c r="I27" s="572">
        <f t="shared" si="0"/>
        <v>30000000</v>
      </c>
      <c r="J27" s="566">
        <f t="shared" si="1"/>
        <v>0</v>
      </c>
      <c r="K27" s="561"/>
    </row>
    <row r="28" spans="1:11" s="575" customFormat="1" x14ac:dyDescent="0.2">
      <c r="A28" s="554"/>
      <c r="B28" s="568" t="s">
        <v>3476</v>
      </c>
      <c r="C28" s="569">
        <v>80000000</v>
      </c>
      <c r="D28" s="574"/>
      <c r="E28" s="569">
        <v>0</v>
      </c>
      <c r="F28" s="571"/>
      <c r="G28" s="569">
        <v>0</v>
      </c>
      <c r="H28" s="571"/>
      <c r="I28" s="572">
        <f t="shared" si="0"/>
        <v>80000000</v>
      </c>
      <c r="J28" s="566">
        <f t="shared" si="1"/>
        <v>0</v>
      </c>
      <c r="K28" s="561"/>
    </row>
    <row r="29" spans="1:11" s="575" customFormat="1" x14ac:dyDescent="0.2">
      <c r="A29" s="554"/>
      <c r="B29" s="568" t="s">
        <v>3477</v>
      </c>
      <c r="C29" s="569">
        <v>150000000</v>
      </c>
      <c r="D29" s="574"/>
      <c r="E29" s="569">
        <v>0</v>
      </c>
      <c r="F29" s="571"/>
      <c r="G29" s="569">
        <v>0</v>
      </c>
      <c r="H29" s="571"/>
      <c r="I29" s="572">
        <f t="shared" si="0"/>
        <v>150000000</v>
      </c>
      <c r="J29" s="566">
        <f t="shared" si="1"/>
        <v>0</v>
      </c>
      <c r="K29" s="561"/>
    </row>
    <row r="30" spans="1:11" s="575" customFormat="1" x14ac:dyDescent="0.2">
      <c r="A30" s="554"/>
      <c r="B30" s="568" t="s">
        <v>3478</v>
      </c>
      <c r="C30" s="569">
        <v>150000000</v>
      </c>
      <c r="D30" s="574"/>
      <c r="E30" s="569">
        <v>0</v>
      </c>
      <c r="F30" s="571"/>
      <c r="G30" s="569">
        <v>0</v>
      </c>
      <c r="H30" s="571"/>
      <c r="I30" s="572">
        <f t="shared" si="0"/>
        <v>150000000</v>
      </c>
      <c r="J30" s="566">
        <f t="shared" si="1"/>
        <v>0</v>
      </c>
      <c r="K30" s="561"/>
    </row>
    <row r="31" spans="1:11" s="575" customFormat="1" x14ac:dyDescent="0.2">
      <c r="A31" s="554"/>
      <c r="B31" s="568" t="s">
        <v>3479</v>
      </c>
      <c r="C31" s="569">
        <v>2166160.48</v>
      </c>
      <c r="D31" s="574"/>
      <c r="E31" s="569">
        <v>0</v>
      </c>
      <c r="F31" s="571"/>
      <c r="G31" s="569">
        <v>0</v>
      </c>
      <c r="H31" s="571"/>
      <c r="I31" s="572">
        <f>C31-(E31+G31)</f>
        <v>2166160.48</v>
      </c>
      <c r="J31" s="566">
        <f>(G31+E31)/C31</f>
        <v>0</v>
      </c>
      <c r="K31" s="561"/>
    </row>
    <row r="32" spans="1:11" s="575" customFormat="1" x14ac:dyDescent="0.2">
      <c r="A32" s="554"/>
      <c r="B32" s="568" t="s">
        <v>3480</v>
      </c>
      <c r="C32" s="569">
        <v>799950737.00999999</v>
      </c>
      <c r="D32" s="574"/>
      <c r="E32" s="569">
        <v>0</v>
      </c>
      <c r="F32" s="571"/>
      <c r="G32" s="569">
        <v>0</v>
      </c>
      <c r="H32" s="571"/>
      <c r="I32" s="572">
        <f t="shared" si="0"/>
        <v>799950737.00999999</v>
      </c>
      <c r="J32" s="566">
        <f t="shared" si="1"/>
        <v>0</v>
      </c>
      <c r="K32" s="561"/>
    </row>
    <row r="33" spans="1:11" s="575" customFormat="1" x14ac:dyDescent="0.2">
      <c r="A33" s="554"/>
      <c r="B33" s="568" t="s">
        <v>3481</v>
      </c>
      <c r="C33" s="569">
        <v>150000000</v>
      </c>
      <c r="D33" s="574"/>
      <c r="E33" s="569">
        <v>0</v>
      </c>
      <c r="F33" s="571"/>
      <c r="G33" s="569">
        <v>0</v>
      </c>
      <c r="H33" s="571"/>
      <c r="I33" s="572">
        <f t="shared" si="0"/>
        <v>150000000</v>
      </c>
      <c r="J33" s="566">
        <f t="shared" si="1"/>
        <v>0</v>
      </c>
      <c r="K33" s="561"/>
    </row>
    <row r="34" spans="1:11" s="575" customFormat="1" x14ac:dyDescent="0.2">
      <c r="A34" s="554"/>
      <c r="B34" s="568" t="s">
        <v>3482</v>
      </c>
      <c r="C34" s="569">
        <v>45000000</v>
      </c>
      <c r="D34" s="574"/>
      <c r="E34" s="569">
        <v>0</v>
      </c>
      <c r="F34" s="571"/>
      <c r="G34" s="569">
        <v>0</v>
      </c>
      <c r="H34" s="571"/>
      <c r="I34" s="572">
        <f t="shared" si="0"/>
        <v>45000000</v>
      </c>
      <c r="J34" s="566">
        <f t="shared" si="1"/>
        <v>0</v>
      </c>
      <c r="K34" s="561"/>
    </row>
    <row r="35" spans="1:11" s="575" customFormat="1" ht="22.5" x14ac:dyDescent="0.2">
      <c r="A35" s="554"/>
      <c r="B35" s="568" t="s">
        <v>3483</v>
      </c>
      <c r="C35" s="569">
        <v>1289000000</v>
      </c>
      <c r="D35" s="574"/>
      <c r="E35" s="569">
        <v>0</v>
      </c>
      <c r="F35" s="571"/>
      <c r="G35" s="569">
        <v>0</v>
      </c>
      <c r="H35" s="571"/>
      <c r="I35" s="572">
        <f t="shared" si="0"/>
        <v>1289000000</v>
      </c>
      <c r="J35" s="566">
        <f t="shared" si="1"/>
        <v>0</v>
      </c>
      <c r="K35" s="561"/>
    </row>
    <row r="36" spans="1:11" s="575" customFormat="1" x14ac:dyDescent="0.2">
      <c r="A36" s="554"/>
      <c r="B36" s="568" t="s">
        <v>3484</v>
      </c>
      <c r="C36" s="569">
        <v>1255231209.98</v>
      </c>
      <c r="D36" s="574"/>
      <c r="E36" s="569">
        <v>0</v>
      </c>
      <c r="F36" s="571"/>
      <c r="G36" s="569">
        <v>0</v>
      </c>
      <c r="H36" s="571"/>
      <c r="I36" s="572">
        <f t="shared" si="0"/>
        <v>1255231209.98</v>
      </c>
      <c r="J36" s="566">
        <f t="shared" si="1"/>
        <v>0</v>
      </c>
      <c r="K36" s="561"/>
    </row>
    <row r="37" spans="1:11" s="575" customFormat="1" x14ac:dyDescent="0.2">
      <c r="A37" s="554"/>
      <c r="B37" s="568" t="s">
        <v>2801</v>
      </c>
      <c r="C37" s="569">
        <v>166757.73000000001</v>
      </c>
      <c r="D37" s="574"/>
      <c r="E37" s="569">
        <v>0</v>
      </c>
      <c r="F37" s="571"/>
      <c r="G37" s="569">
        <v>0</v>
      </c>
      <c r="H37" s="571"/>
      <c r="I37" s="572">
        <f t="shared" si="0"/>
        <v>166757.73000000001</v>
      </c>
      <c r="J37" s="566">
        <f t="shared" si="1"/>
        <v>0</v>
      </c>
      <c r="K37" s="561"/>
    </row>
    <row r="38" spans="1:11" s="575" customFormat="1" x14ac:dyDescent="0.2">
      <c r="A38" s="554"/>
      <c r="B38" s="568" t="s">
        <v>3485</v>
      </c>
      <c r="C38" s="569">
        <v>124696444.59999999</v>
      </c>
      <c r="D38" s="574"/>
      <c r="E38" s="569">
        <v>0</v>
      </c>
      <c r="F38" s="571"/>
      <c r="G38" s="569">
        <v>0</v>
      </c>
      <c r="H38" s="571"/>
      <c r="I38" s="572">
        <f t="shared" si="0"/>
        <v>124696444.59999999</v>
      </c>
      <c r="J38" s="566">
        <f t="shared" si="1"/>
        <v>0</v>
      </c>
      <c r="K38" s="561"/>
    </row>
    <row r="39" spans="1:11" s="575" customFormat="1" x14ac:dyDescent="0.2">
      <c r="A39" s="554"/>
      <c r="B39" s="568" t="s">
        <v>3486</v>
      </c>
      <c r="C39" s="569">
        <v>518688848.56999999</v>
      </c>
      <c r="D39" s="574"/>
      <c r="E39" s="569">
        <v>0</v>
      </c>
      <c r="F39" s="571"/>
      <c r="G39" s="569">
        <v>0</v>
      </c>
      <c r="H39" s="571"/>
      <c r="I39" s="572">
        <f>C39-(E39+G39)</f>
        <v>518688848.56999999</v>
      </c>
      <c r="J39" s="566">
        <f>(G39+E39)/C39</f>
        <v>0</v>
      </c>
      <c r="K39" s="561"/>
    </row>
    <row r="40" spans="1:11" s="575" customFormat="1" x14ac:dyDescent="0.2">
      <c r="A40" s="554"/>
      <c r="B40" s="568" t="s">
        <v>3487</v>
      </c>
      <c r="C40" s="569">
        <v>91716075</v>
      </c>
      <c r="D40" s="574"/>
      <c r="E40" s="569">
        <v>0</v>
      </c>
      <c r="F40" s="571"/>
      <c r="G40" s="569">
        <v>0</v>
      </c>
      <c r="H40" s="571"/>
      <c r="I40" s="572">
        <f t="shared" si="0"/>
        <v>91716075</v>
      </c>
      <c r="J40" s="566">
        <f t="shared" si="1"/>
        <v>0</v>
      </c>
      <c r="K40" s="561"/>
    </row>
    <row r="41" spans="1:11" s="575" customFormat="1" x14ac:dyDescent="0.2">
      <c r="A41" s="554" t="s">
        <v>468</v>
      </c>
      <c r="B41" s="568" t="s">
        <v>3488</v>
      </c>
      <c r="C41" s="569">
        <v>88200000</v>
      </c>
      <c r="D41" s="574"/>
      <c r="E41" s="569">
        <v>0</v>
      </c>
      <c r="F41" s="571"/>
      <c r="G41" s="569">
        <v>0</v>
      </c>
      <c r="H41" s="571"/>
      <c r="I41" s="572">
        <f t="shared" si="0"/>
        <v>88200000</v>
      </c>
      <c r="J41" s="566">
        <f t="shared" si="1"/>
        <v>0</v>
      </c>
      <c r="K41" s="561"/>
    </row>
    <row r="42" spans="1:11" s="575" customFormat="1" x14ac:dyDescent="0.2">
      <c r="A42" s="554"/>
      <c r="B42" s="568" t="s">
        <v>3489</v>
      </c>
      <c r="C42" s="569">
        <v>60000000</v>
      </c>
      <c r="D42" s="574"/>
      <c r="E42" s="571">
        <v>0</v>
      </c>
      <c r="F42" s="571"/>
      <c r="G42" s="569">
        <v>0</v>
      </c>
      <c r="H42" s="571"/>
      <c r="I42" s="572">
        <f t="shared" si="0"/>
        <v>60000000</v>
      </c>
      <c r="J42" s="566">
        <f t="shared" si="1"/>
        <v>0</v>
      </c>
      <c r="K42" s="561"/>
    </row>
    <row r="43" spans="1:11" s="575" customFormat="1" x14ac:dyDescent="0.2">
      <c r="A43" s="554"/>
      <c r="B43" s="568" t="s">
        <v>2802</v>
      </c>
      <c r="C43" s="569">
        <v>15000000</v>
      </c>
      <c r="D43" s="574"/>
      <c r="E43" s="571">
        <v>0</v>
      </c>
      <c r="F43" s="571"/>
      <c r="G43" s="569">
        <v>0</v>
      </c>
      <c r="H43" s="571"/>
      <c r="I43" s="572">
        <f t="shared" si="0"/>
        <v>15000000</v>
      </c>
      <c r="J43" s="566">
        <f t="shared" si="1"/>
        <v>0</v>
      </c>
      <c r="K43" s="561"/>
    </row>
    <row r="44" spans="1:11" s="575" customFormat="1" x14ac:dyDescent="0.2">
      <c r="A44" s="554"/>
      <c r="B44" s="568" t="s">
        <v>2803</v>
      </c>
      <c r="C44" s="569">
        <v>209570054.52000001</v>
      </c>
      <c r="D44" s="574"/>
      <c r="E44" s="571">
        <v>0</v>
      </c>
      <c r="F44" s="571"/>
      <c r="G44" s="569">
        <v>0</v>
      </c>
      <c r="H44" s="571"/>
      <c r="I44" s="572">
        <f t="shared" si="0"/>
        <v>209570054.52000001</v>
      </c>
      <c r="J44" s="566">
        <f t="shared" si="1"/>
        <v>0</v>
      </c>
      <c r="K44" s="561"/>
    </row>
    <row r="45" spans="1:11" s="575" customFormat="1" x14ac:dyDescent="0.2">
      <c r="A45" s="554"/>
      <c r="B45" s="568" t="s">
        <v>3490</v>
      </c>
      <c r="C45" s="569">
        <v>100000000</v>
      </c>
      <c r="D45" s="574"/>
      <c r="E45" s="571">
        <v>0</v>
      </c>
      <c r="F45" s="571"/>
      <c r="G45" s="569">
        <v>0</v>
      </c>
      <c r="H45" s="571"/>
      <c r="I45" s="572">
        <f t="shared" si="0"/>
        <v>100000000</v>
      </c>
      <c r="J45" s="566">
        <f t="shared" si="1"/>
        <v>0</v>
      </c>
      <c r="K45" s="561"/>
    </row>
    <row r="46" spans="1:11" s="575" customFormat="1" x14ac:dyDescent="0.2">
      <c r="A46" s="554"/>
      <c r="B46" s="568" t="s">
        <v>3491</v>
      </c>
      <c r="C46" s="569">
        <v>95066655</v>
      </c>
      <c r="D46" s="574"/>
      <c r="E46" s="571">
        <v>0</v>
      </c>
      <c r="F46" s="571"/>
      <c r="G46" s="569">
        <v>0</v>
      </c>
      <c r="H46" s="571"/>
      <c r="I46" s="572">
        <f t="shared" si="0"/>
        <v>95066655</v>
      </c>
      <c r="J46" s="566">
        <f t="shared" si="1"/>
        <v>0</v>
      </c>
      <c r="K46" s="561"/>
    </row>
    <row r="47" spans="1:11" s="575" customFormat="1" x14ac:dyDescent="0.2">
      <c r="A47" s="554"/>
      <c r="B47" s="568" t="s">
        <v>2804</v>
      </c>
      <c r="C47" s="569">
        <v>65000000</v>
      </c>
      <c r="D47" s="574"/>
      <c r="E47" s="571">
        <v>0</v>
      </c>
      <c r="F47" s="571"/>
      <c r="G47" s="569">
        <v>0</v>
      </c>
      <c r="H47" s="571"/>
      <c r="I47" s="572">
        <f t="shared" si="0"/>
        <v>65000000</v>
      </c>
      <c r="J47" s="566">
        <f t="shared" si="1"/>
        <v>0</v>
      </c>
      <c r="K47" s="561"/>
    </row>
    <row r="48" spans="1:11" s="575" customFormat="1" x14ac:dyDescent="0.2">
      <c r="A48" s="554"/>
      <c r="B48" s="568" t="s">
        <v>3492</v>
      </c>
      <c r="C48" s="569">
        <v>920000000</v>
      </c>
      <c r="D48" s="574"/>
      <c r="E48" s="571">
        <v>0</v>
      </c>
      <c r="F48" s="571"/>
      <c r="G48" s="569">
        <v>0</v>
      </c>
      <c r="H48" s="571"/>
      <c r="I48" s="572">
        <f>C48-(E48+G48)</f>
        <v>920000000</v>
      </c>
      <c r="J48" s="566">
        <f>(G48+E48)/C48</f>
        <v>0</v>
      </c>
      <c r="K48" s="561"/>
    </row>
    <row r="49" spans="1:11" s="575" customFormat="1" x14ac:dyDescent="0.2">
      <c r="A49" s="554"/>
      <c r="B49" s="568" t="s">
        <v>2805</v>
      </c>
      <c r="C49" s="569">
        <v>2000000000.22</v>
      </c>
      <c r="D49" s="574"/>
      <c r="E49" s="571">
        <v>0</v>
      </c>
      <c r="F49" s="571"/>
      <c r="G49" s="569">
        <v>0</v>
      </c>
      <c r="H49" s="571"/>
      <c r="I49" s="572">
        <f t="shared" si="0"/>
        <v>2000000000.22</v>
      </c>
      <c r="J49" s="566">
        <f t="shared" si="1"/>
        <v>0</v>
      </c>
      <c r="K49" s="561"/>
    </row>
    <row r="50" spans="1:11" s="575" customFormat="1" x14ac:dyDescent="0.2">
      <c r="A50" s="554"/>
      <c r="B50" s="568" t="s">
        <v>3493</v>
      </c>
      <c r="C50" s="569">
        <v>20000000</v>
      </c>
      <c r="D50" s="574"/>
      <c r="E50" s="571">
        <v>0</v>
      </c>
      <c r="F50" s="571"/>
      <c r="G50" s="569">
        <v>0</v>
      </c>
      <c r="H50" s="571"/>
      <c r="I50" s="572">
        <f t="shared" si="0"/>
        <v>20000000</v>
      </c>
      <c r="J50" s="566">
        <f t="shared" si="1"/>
        <v>0</v>
      </c>
      <c r="K50" s="561"/>
    </row>
    <row r="51" spans="1:11" s="575" customFormat="1" x14ac:dyDescent="0.2">
      <c r="A51" s="554"/>
      <c r="B51" s="568" t="s">
        <v>3494</v>
      </c>
      <c r="C51" s="569">
        <v>20000000</v>
      </c>
      <c r="D51" s="574"/>
      <c r="E51" s="571">
        <v>0</v>
      </c>
      <c r="F51" s="571"/>
      <c r="G51" s="569">
        <v>0</v>
      </c>
      <c r="H51" s="571"/>
      <c r="I51" s="572">
        <f t="shared" si="0"/>
        <v>20000000</v>
      </c>
      <c r="J51" s="566">
        <f t="shared" si="1"/>
        <v>0</v>
      </c>
      <c r="K51" s="561"/>
    </row>
    <row r="52" spans="1:11" s="575" customFormat="1" x14ac:dyDescent="0.2">
      <c r="A52" s="554"/>
      <c r="B52" s="568" t="s">
        <v>3495</v>
      </c>
      <c r="C52" s="569">
        <v>750000000</v>
      </c>
      <c r="D52" s="574"/>
      <c r="E52" s="571">
        <v>0</v>
      </c>
      <c r="F52" s="571"/>
      <c r="G52" s="569">
        <v>0</v>
      </c>
      <c r="H52" s="576"/>
      <c r="I52" s="572">
        <f t="shared" si="0"/>
        <v>750000000</v>
      </c>
      <c r="J52" s="566">
        <f t="shared" si="1"/>
        <v>0</v>
      </c>
      <c r="K52" s="561"/>
    </row>
    <row r="53" spans="1:11" s="575" customFormat="1" x14ac:dyDescent="0.2">
      <c r="A53" s="554"/>
      <c r="B53" s="568" t="s">
        <v>3496</v>
      </c>
      <c r="C53" s="569">
        <v>15000000</v>
      </c>
      <c r="D53" s="574"/>
      <c r="E53" s="571">
        <v>0</v>
      </c>
      <c r="F53" s="571"/>
      <c r="G53" s="569">
        <v>0</v>
      </c>
      <c r="H53" s="571"/>
      <c r="I53" s="572">
        <f t="shared" si="0"/>
        <v>15000000</v>
      </c>
      <c r="J53" s="566">
        <f t="shared" si="1"/>
        <v>0</v>
      </c>
      <c r="K53" s="561"/>
    </row>
    <row r="54" spans="1:11" s="575" customFormat="1" x14ac:dyDescent="0.2">
      <c r="A54" s="554"/>
      <c r="B54" s="568" t="s">
        <v>3497</v>
      </c>
      <c r="C54" s="569">
        <v>15000000</v>
      </c>
      <c r="D54" s="574"/>
      <c r="E54" s="571">
        <v>0</v>
      </c>
      <c r="F54" s="571"/>
      <c r="G54" s="569">
        <v>0</v>
      </c>
      <c r="H54" s="571"/>
      <c r="I54" s="572">
        <f t="shared" si="0"/>
        <v>15000000</v>
      </c>
      <c r="J54" s="566">
        <f t="shared" si="1"/>
        <v>0</v>
      </c>
      <c r="K54" s="561"/>
    </row>
    <row r="55" spans="1:11" s="575" customFormat="1" x14ac:dyDescent="0.2">
      <c r="A55" s="554"/>
      <c r="B55" s="568" t="s">
        <v>3498</v>
      </c>
      <c r="C55" s="569">
        <v>-60000000</v>
      </c>
      <c r="D55" s="574" t="s">
        <v>3387</v>
      </c>
      <c r="E55" s="571">
        <v>0</v>
      </c>
      <c r="F55" s="571"/>
      <c r="G55" s="569">
        <v>0</v>
      </c>
      <c r="H55" s="571"/>
      <c r="I55" s="572">
        <f t="shared" si="0"/>
        <v>-60000000</v>
      </c>
      <c r="J55" s="566">
        <f t="shared" si="1"/>
        <v>0</v>
      </c>
      <c r="K55" s="561"/>
    </row>
    <row r="56" spans="1:11" s="575" customFormat="1" x14ac:dyDescent="0.2">
      <c r="A56" s="554"/>
      <c r="B56" s="568" t="s">
        <v>3499</v>
      </c>
      <c r="C56" s="569">
        <v>10000000</v>
      </c>
      <c r="D56" s="574"/>
      <c r="E56" s="571">
        <v>0</v>
      </c>
      <c r="F56" s="571"/>
      <c r="G56" s="569">
        <v>0</v>
      </c>
      <c r="H56" s="571"/>
      <c r="I56" s="572">
        <f t="shared" si="0"/>
        <v>10000000</v>
      </c>
      <c r="J56" s="566">
        <f t="shared" si="1"/>
        <v>0</v>
      </c>
      <c r="K56" s="561"/>
    </row>
    <row r="57" spans="1:11" s="575" customFormat="1" x14ac:dyDescent="0.2">
      <c r="A57" s="554"/>
      <c r="B57" s="568" t="s">
        <v>2806</v>
      </c>
      <c r="C57" s="569">
        <v>357445760</v>
      </c>
      <c r="D57" s="574"/>
      <c r="E57" s="571">
        <v>0</v>
      </c>
      <c r="F57" s="571"/>
      <c r="G57" s="569">
        <v>0</v>
      </c>
      <c r="H57" s="571"/>
      <c r="I57" s="572">
        <f t="shared" si="0"/>
        <v>357445760</v>
      </c>
      <c r="J57" s="566">
        <f t="shared" si="1"/>
        <v>0</v>
      </c>
      <c r="K57" s="561"/>
    </row>
    <row r="58" spans="1:11" s="575" customFormat="1" x14ac:dyDescent="0.2">
      <c r="A58" s="554"/>
      <c r="B58" s="568" t="s">
        <v>3500</v>
      </c>
      <c r="C58" s="569">
        <v>330000000</v>
      </c>
      <c r="D58" s="574"/>
      <c r="E58" s="569">
        <v>0</v>
      </c>
      <c r="F58" s="571"/>
      <c r="G58" s="569">
        <v>0</v>
      </c>
      <c r="H58" s="571"/>
      <c r="I58" s="572">
        <f t="shared" si="0"/>
        <v>330000000</v>
      </c>
      <c r="J58" s="566">
        <f t="shared" si="1"/>
        <v>0</v>
      </c>
      <c r="K58" s="561"/>
    </row>
    <row r="59" spans="1:11" s="575" customFormat="1" x14ac:dyDescent="0.2">
      <c r="A59" s="554"/>
      <c r="B59" s="568" t="s">
        <v>3501</v>
      </c>
      <c r="C59" s="569">
        <v>63000000</v>
      </c>
      <c r="D59" s="574"/>
      <c r="E59" s="569">
        <v>0</v>
      </c>
      <c r="F59" s="571"/>
      <c r="G59" s="569">
        <v>0</v>
      </c>
      <c r="H59" s="571"/>
      <c r="I59" s="572">
        <f t="shared" si="0"/>
        <v>63000000</v>
      </c>
      <c r="J59" s="566">
        <f t="shared" si="1"/>
        <v>0</v>
      </c>
      <c r="K59" s="561"/>
    </row>
    <row r="60" spans="1:11" s="575" customFormat="1" x14ac:dyDescent="0.2">
      <c r="A60" s="554"/>
      <c r="B60" s="568" t="s">
        <v>3502</v>
      </c>
      <c r="C60" s="569">
        <v>245000000</v>
      </c>
      <c r="D60" s="574"/>
      <c r="E60" s="569">
        <v>0</v>
      </c>
      <c r="F60" s="571"/>
      <c r="G60" s="569">
        <v>0</v>
      </c>
      <c r="H60" s="571"/>
      <c r="I60" s="572">
        <f>C60-(E60+G60)</f>
        <v>245000000</v>
      </c>
      <c r="J60" s="566">
        <f>(G60+E60)/C60</f>
        <v>0</v>
      </c>
      <c r="K60" s="561"/>
    </row>
    <row r="61" spans="1:11" s="575" customFormat="1" x14ac:dyDescent="0.2">
      <c r="A61" s="554"/>
      <c r="B61" s="568" t="s">
        <v>3503</v>
      </c>
      <c r="C61" s="569">
        <v>160000000</v>
      </c>
      <c r="D61" s="574"/>
      <c r="E61" s="569">
        <v>0</v>
      </c>
      <c r="F61" s="571"/>
      <c r="G61" s="569">
        <v>0</v>
      </c>
      <c r="H61" s="571"/>
      <c r="I61" s="572">
        <f>C61-(E61+G61)</f>
        <v>160000000</v>
      </c>
      <c r="J61" s="566">
        <f>(G61+E61)/C61</f>
        <v>0</v>
      </c>
      <c r="K61" s="561"/>
    </row>
    <row r="62" spans="1:11" s="575" customFormat="1" x14ac:dyDescent="0.2">
      <c r="A62" s="554"/>
      <c r="B62" s="568" t="s">
        <v>3504</v>
      </c>
      <c r="C62" s="569">
        <v>172000000</v>
      </c>
      <c r="D62" s="574"/>
      <c r="E62" s="569">
        <v>0</v>
      </c>
      <c r="F62" s="571"/>
      <c r="G62" s="569">
        <v>0</v>
      </c>
      <c r="H62" s="571"/>
      <c r="I62" s="572">
        <f>C62-(E62+G62)</f>
        <v>172000000</v>
      </c>
      <c r="J62" s="566">
        <f>(G62+E62)/C62</f>
        <v>0</v>
      </c>
      <c r="K62" s="561"/>
    </row>
    <row r="63" spans="1:11" s="575" customFormat="1" x14ac:dyDescent="0.2">
      <c r="A63" s="554"/>
      <c r="B63" s="568" t="s">
        <v>3505</v>
      </c>
      <c r="C63" s="569">
        <v>720000000</v>
      </c>
      <c r="D63" s="574"/>
      <c r="E63" s="569">
        <v>0</v>
      </c>
      <c r="F63" s="571"/>
      <c r="G63" s="569">
        <v>0</v>
      </c>
      <c r="H63" s="571"/>
      <c r="I63" s="572">
        <f>C63-(E63+G63)</f>
        <v>720000000</v>
      </c>
      <c r="J63" s="566">
        <f>(G63+E63)/C63</f>
        <v>0</v>
      </c>
      <c r="K63" s="561"/>
    </row>
    <row r="64" spans="1:11" s="575" customFormat="1" x14ac:dyDescent="0.2">
      <c r="A64" s="554"/>
      <c r="B64" s="568" t="s">
        <v>3506</v>
      </c>
      <c r="C64" s="569">
        <v>20000000</v>
      </c>
      <c r="D64" s="574"/>
      <c r="E64" s="569">
        <v>0</v>
      </c>
      <c r="F64" s="571"/>
      <c r="G64" s="569">
        <v>0</v>
      </c>
      <c r="H64" s="571"/>
      <c r="I64" s="572">
        <f t="shared" si="0"/>
        <v>20000000</v>
      </c>
      <c r="J64" s="566">
        <f t="shared" si="1"/>
        <v>0</v>
      </c>
      <c r="K64" s="561"/>
    </row>
    <row r="65" spans="1:11" s="575" customFormat="1" x14ac:dyDescent="0.2">
      <c r="A65" s="554"/>
      <c r="B65" s="568" t="s">
        <v>3507</v>
      </c>
      <c r="C65" s="569">
        <v>79160</v>
      </c>
      <c r="D65" s="574"/>
      <c r="E65" s="569">
        <v>0</v>
      </c>
      <c r="F65" s="571"/>
      <c r="G65" s="569">
        <v>0</v>
      </c>
      <c r="H65" s="571"/>
      <c r="I65" s="572">
        <f t="shared" si="0"/>
        <v>79160</v>
      </c>
      <c r="J65" s="566">
        <f t="shared" si="1"/>
        <v>0</v>
      </c>
      <c r="K65" s="561"/>
    </row>
    <row r="66" spans="1:11" s="575" customFormat="1" x14ac:dyDescent="0.2">
      <c r="A66" s="554"/>
      <c r="B66" s="568" t="s">
        <v>3508</v>
      </c>
      <c r="C66" s="569">
        <v>64496993.189999998</v>
      </c>
      <c r="D66" s="574"/>
      <c r="E66" s="569">
        <v>0</v>
      </c>
      <c r="F66" s="571"/>
      <c r="G66" s="569">
        <v>0</v>
      </c>
      <c r="H66" s="571"/>
      <c r="I66" s="572">
        <f t="shared" si="0"/>
        <v>64496993.189999998</v>
      </c>
      <c r="J66" s="566">
        <f t="shared" si="1"/>
        <v>0</v>
      </c>
      <c r="K66" s="561"/>
    </row>
    <row r="67" spans="1:11" s="575" customFormat="1" x14ac:dyDescent="0.2">
      <c r="A67" s="554"/>
      <c r="B67" s="568" t="s">
        <v>2807</v>
      </c>
      <c r="C67" s="569">
        <v>100000000</v>
      </c>
      <c r="D67" s="574"/>
      <c r="E67" s="569">
        <v>0</v>
      </c>
      <c r="F67" s="571"/>
      <c r="G67" s="569">
        <v>0</v>
      </c>
      <c r="H67" s="571"/>
      <c r="I67" s="572">
        <f t="shared" si="0"/>
        <v>100000000</v>
      </c>
      <c r="J67" s="566">
        <f t="shared" si="1"/>
        <v>0</v>
      </c>
      <c r="K67" s="561"/>
    </row>
    <row r="68" spans="1:11" s="575" customFormat="1" x14ac:dyDescent="0.2">
      <c r="A68" s="554"/>
      <c r="B68" s="568" t="s">
        <v>3509</v>
      </c>
      <c r="C68" s="569">
        <v>60017200</v>
      </c>
      <c r="D68" s="574"/>
      <c r="E68" s="569">
        <v>0</v>
      </c>
      <c r="F68" s="571"/>
      <c r="G68" s="569">
        <v>0</v>
      </c>
      <c r="H68" s="571"/>
      <c r="I68" s="572">
        <f t="shared" si="0"/>
        <v>60017200</v>
      </c>
      <c r="J68" s="566">
        <f t="shared" si="1"/>
        <v>0</v>
      </c>
      <c r="K68" s="561"/>
    </row>
    <row r="69" spans="1:11" s="575" customFormat="1" x14ac:dyDescent="0.2">
      <c r="A69" s="554"/>
      <c r="B69" s="568" t="s">
        <v>3510</v>
      </c>
      <c r="C69" s="569">
        <v>0</v>
      </c>
      <c r="D69" s="574" t="s">
        <v>3511</v>
      </c>
      <c r="E69" s="569">
        <v>0</v>
      </c>
      <c r="F69" s="571"/>
      <c r="G69" s="569">
        <v>15800000</v>
      </c>
      <c r="H69" s="571"/>
      <c r="I69" s="572">
        <f t="shared" si="0"/>
        <v>-15800000</v>
      </c>
      <c r="J69" s="566"/>
      <c r="K69" s="561"/>
    </row>
    <row r="70" spans="1:11" s="575" customFormat="1" x14ac:dyDescent="0.2">
      <c r="A70" s="554"/>
      <c r="B70" s="568" t="s">
        <v>2808</v>
      </c>
      <c r="C70" s="569">
        <v>430000000</v>
      </c>
      <c r="D70" s="574"/>
      <c r="E70" s="569">
        <v>0</v>
      </c>
      <c r="F70" s="571"/>
      <c r="G70" s="569">
        <v>0</v>
      </c>
      <c r="H70" s="571"/>
      <c r="I70" s="572">
        <f t="shared" si="0"/>
        <v>430000000</v>
      </c>
      <c r="J70" s="566">
        <f t="shared" si="1"/>
        <v>0</v>
      </c>
      <c r="K70" s="561"/>
    </row>
    <row r="71" spans="1:11" s="575" customFormat="1" x14ac:dyDescent="0.2">
      <c r="A71" s="554"/>
      <c r="B71" s="568" t="s">
        <v>2809</v>
      </c>
      <c r="C71" s="569">
        <v>925000000</v>
      </c>
      <c r="D71" s="574"/>
      <c r="E71" s="569">
        <v>0</v>
      </c>
      <c r="F71" s="571"/>
      <c r="G71" s="569">
        <v>0</v>
      </c>
      <c r="H71" s="571"/>
      <c r="I71" s="572">
        <f t="shared" ref="I71:I124" si="2">C71-(E71+G71)</f>
        <v>925000000</v>
      </c>
      <c r="J71" s="566">
        <f t="shared" si="1"/>
        <v>0</v>
      </c>
      <c r="K71" s="561"/>
    </row>
    <row r="72" spans="1:11" s="575" customFormat="1" x14ac:dyDescent="0.2">
      <c r="A72" s="554"/>
      <c r="B72" s="568" t="s">
        <v>2810</v>
      </c>
      <c r="C72" s="569">
        <v>0</v>
      </c>
      <c r="D72" s="574" t="s">
        <v>3512</v>
      </c>
      <c r="E72" s="569">
        <v>15522461</v>
      </c>
      <c r="F72" s="571"/>
      <c r="G72" s="569">
        <v>30000</v>
      </c>
      <c r="H72" s="571"/>
      <c r="I72" s="572">
        <f>C72-(E72+G72)</f>
        <v>-15552461</v>
      </c>
      <c r="J72" s="566"/>
      <c r="K72" s="561"/>
    </row>
    <row r="73" spans="1:11" s="575" customFormat="1" x14ac:dyDescent="0.2">
      <c r="A73" s="554"/>
      <c r="B73" s="568" t="s">
        <v>2811</v>
      </c>
      <c r="C73" s="569">
        <v>546852000</v>
      </c>
      <c r="D73" s="574"/>
      <c r="E73" s="569">
        <v>0</v>
      </c>
      <c r="F73" s="571"/>
      <c r="G73" s="569">
        <v>0</v>
      </c>
      <c r="H73" s="571"/>
      <c r="I73" s="572">
        <f t="shared" si="2"/>
        <v>546852000</v>
      </c>
      <c r="J73" s="566">
        <f t="shared" ref="J73:J124" si="3">(G73+E73)/C73</f>
        <v>0</v>
      </c>
      <c r="K73" s="561"/>
    </row>
    <row r="74" spans="1:11" s="575" customFormat="1" x14ac:dyDescent="0.2">
      <c r="A74" s="554"/>
      <c r="B74" s="568" t="s">
        <v>3513</v>
      </c>
      <c r="C74" s="569">
        <v>60000000</v>
      </c>
      <c r="D74" s="574"/>
      <c r="E74" s="569">
        <v>0</v>
      </c>
      <c r="F74" s="571"/>
      <c r="G74" s="569">
        <v>0</v>
      </c>
      <c r="H74" s="571"/>
      <c r="I74" s="572">
        <f>C74-(E74+G74)</f>
        <v>60000000</v>
      </c>
      <c r="J74" s="566">
        <f>(G74+E74)/C74</f>
        <v>0</v>
      </c>
      <c r="K74" s="561"/>
    </row>
    <row r="75" spans="1:11" s="575" customFormat="1" x14ac:dyDescent="0.2">
      <c r="A75" s="554"/>
      <c r="B75" s="568" t="s">
        <v>3514</v>
      </c>
      <c r="C75" s="569">
        <v>9600000000</v>
      </c>
      <c r="D75" s="574"/>
      <c r="E75" s="569">
        <v>1425295188.4200001</v>
      </c>
      <c r="F75" s="571"/>
      <c r="G75" s="569">
        <v>0</v>
      </c>
      <c r="H75" s="571"/>
      <c r="I75" s="572">
        <f t="shared" si="2"/>
        <v>8174704811.5799999</v>
      </c>
      <c r="J75" s="566">
        <f t="shared" si="3"/>
        <v>0.14846824879375001</v>
      </c>
      <c r="K75" s="561"/>
    </row>
    <row r="76" spans="1:11" s="575" customFormat="1" x14ac:dyDescent="0.2">
      <c r="A76" s="554"/>
      <c r="B76" s="568" t="s">
        <v>3515</v>
      </c>
      <c r="C76" s="569">
        <v>979526792.26999998</v>
      </c>
      <c r="D76" s="574" t="s">
        <v>3516</v>
      </c>
      <c r="E76" s="569">
        <v>1624662191.0999999</v>
      </c>
      <c r="F76" s="571"/>
      <c r="G76" s="569">
        <v>2464321225.8000002</v>
      </c>
      <c r="H76" s="571"/>
      <c r="I76" s="572">
        <f t="shared" si="2"/>
        <v>-3109456624.6300001</v>
      </c>
      <c r="J76" s="566">
        <f t="shared" si="3"/>
        <v>4.1744477529032196</v>
      </c>
      <c r="K76" s="561"/>
    </row>
    <row r="77" spans="1:11" s="575" customFormat="1" x14ac:dyDescent="0.2">
      <c r="A77" s="554"/>
      <c r="B77" s="568"/>
      <c r="C77" s="569"/>
      <c r="D77" s="574"/>
      <c r="E77" s="569"/>
      <c r="F77" s="571"/>
      <c r="G77" s="569"/>
      <c r="H77" s="571"/>
      <c r="I77" s="564"/>
      <c r="J77" s="566"/>
      <c r="K77" s="561"/>
    </row>
    <row r="78" spans="1:11" s="575" customFormat="1" x14ac:dyDescent="0.2">
      <c r="A78" s="554"/>
      <c r="B78" s="568"/>
      <c r="C78" s="569"/>
      <c r="D78" s="574"/>
      <c r="E78" s="569"/>
      <c r="F78" s="571"/>
      <c r="G78" s="569"/>
      <c r="H78" s="571"/>
      <c r="I78" s="564"/>
      <c r="J78" s="566"/>
      <c r="K78" s="561"/>
    </row>
    <row r="79" spans="1:11" s="575" customFormat="1" x14ac:dyDescent="0.2">
      <c r="A79" s="554"/>
      <c r="B79" s="568"/>
      <c r="C79" s="569"/>
      <c r="D79" s="574"/>
      <c r="E79" s="569"/>
      <c r="F79" s="571"/>
      <c r="G79" s="569"/>
      <c r="H79" s="571"/>
      <c r="I79" s="564"/>
      <c r="J79" s="566"/>
      <c r="K79" s="561"/>
    </row>
    <row r="80" spans="1:11" s="575" customFormat="1" x14ac:dyDescent="0.2">
      <c r="A80" s="554"/>
      <c r="B80" s="568"/>
      <c r="C80" s="569"/>
      <c r="D80" s="574"/>
      <c r="E80" s="569"/>
      <c r="F80" s="571"/>
      <c r="G80" s="569"/>
      <c r="H80" s="571"/>
      <c r="I80" s="564"/>
      <c r="J80" s="566"/>
      <c r="K80" s="561"/>
    </row>
    <row r="81" spans="1:11" s="575" customFormat="1" x14ac:dyDescent="0.2">
      <c r="A81" s="577">
        <v>4</v>
      </c>
      <c r="B81" s="563" t="s">
        <v>2301</v>
      </c>
      <c r="C81" s="564">
        <f>SUM(C82:C83)</f>
        <v>20000000</v>
      </c>
      <c r="D81" s="565"/>
      <c r="E81" s="564">
        <f>SUM(E82:E83)</f>
        <v>6456352.0999999996</v>
      </c>
      <c r="F81" s="564"/>
      <c r="G81" s="564">
        <f>SUM(G82:G83)</f>
        <v>0</v>
      </c>
      <c r="H81" s="564"/>
      <c r="I81" s="564">
        <f>SUM(I82:I83)</f>
        <v>13543647.9</v>
      </c>
      <c r="J81" s="566">
        <f t="shared" si="3"/>
        <v>0.32281760500000001</v>
      </c>
      <c r="K81" s="561"/>
    </row>
    <row r="82" spans="1:11" s="575" customFormat="1" x14ac:dyDescent="0.2">
      <c r="A82" s="577"/>
      <c r="B82" s="568" t="s">
        <v>96</v>
      </c>
      <c r="C82" s="569">
        <v>3500000</v>
      </c>
      <c r="D82" s="574"/>
      <c r="E82" s="569">
        <v>0</v>
      </c>
      <c r="F82" s="571"/>
      <c r="G82" s="569">
        <v>0</v>
      </c>
      <c r="H82" s="571"/>
      <c r="I82" s="572">
        <f t="shared" si="2"/>
        <v>3500000</v>
      </c>
      <c r="J82" s="566">
        <f t="shared" si="3"/>
        <v>0</v>
      </c>
      <c r="K82" s="561"/>
    </row>
    <row r="83" spans="1:11" s="575" customFormat="1" x14ac:dyDescent="0.2">
      <c r="A83" s="577"/>
      <c r="B83" s="568" t="s">
        <v>98</v>
      </c>
      <c r="C83" s="569">
        <v>16500000</v>
      </c>
      <c r="D83" s="574"/>
      <c r="E83" s="569">
        <v>6456352.0999999996</v>
      </c>
      <c r="F83" s="571"/>
      <c r="G83" s="569">
        <v>0</v>
      </c>
      <c r="H83" s="571"/>
      <c r="I83" s="572">
        <f t="shared" si="2"/>
        <v>10043647.9</v>
      </c>
      <c r="J83" s="566">
        <f t="shared" si="3"/>
        <v>0.39129406666666666</v>
      </c>
      <c r="K83" s="561"/>
    </row>
    <row r="84" spans="1:11" s="575" customFormat="1" x14ac:dyDescent="0.2">
      <c r="A84" s="577"/>
      <c r="B84" s="568"/>
      <c r="C84" s="569"/>
      <c r="D84" s="574"/>
      <c r="E84" s="569"/>
      <c r="F84" s="571"/>
      <c r="G84" s="569"/>
      <c r="H84" s="571"/>
      <c r="I84" s="564"/>
      <c r="J84" s="566"/>
      <c r="K84" s="561"/>
    </row>
    <row r="85" spans="1:11" s="575" customFormat="1" x14ac:dyDescent="0.2">
      <c r="A85" s="577">
        <v>5</v>
      </c>
      <c r="B85" s="563" t="s">
        <v>1390</v>
      </c>
      <c r="C85" s="564">
        <f>SUM(C86:C92)</f>
        <v>13005861429.93</v>
      </c>
      <c r="D85" s="565"/>
      <c r="E85" s="564">
        <f>SUM(E86:E92)</f>
        <v>3209478447.8999996</v>
      </c>
      <c r="F85" s="564"/>
      <c r="G85" s="564">
        <f>SUM(G86:G92)</f>
        <v>1805100248.4199998</v>
      </c>
      <c r="H85" s="564"/>
      <c r="I85" s="564">
        <f>SUM(I86:I92)</f>
        <v>7991282733.6100006</v>
      </c>
      <c r="J85" s="566">
        <f t="shared" si="3"/>
        <v>0.38556298045588117</v>
      </c>
      <c r="K85" s="561"/>
    </row>
    <row r="86" spans="1:11" s="575" customFormat="1" x14ac:dyDescent="0.2">
      <c r="A86" s="577"/>
      <c r="B86" s="568" t="s">
        <v>94</v>
      </c>
      <c r="C86" s="569">
        <v>1417557257.78</v>
      </c>
      <c r="D86" s="574"/>
      <c r="E86" s="569">
        <v>85854160.980000004</v>
      </c>
      <c r="F86" s="571"/>
      <c r="G86" s="569">
        <v>428370534.62</v>
      </c>
      <c r="H86" s="571"/>
      <c r="I86" s="572">
        <f t="shared" si="2"/>
        <v>903332562.17999995</v>
      </c>
      <c r="J86" s="566">
        <f t="shared" si="3"/>
        <v>0.36275409178555096</v>
      </c>
      <c r="K86" s="561"/>
    </row>
    <row r="87" spans="1:11" s="575" customFormat="1" x14ac:dyDescent="0.2">
      <c r="A87" s="577"/>
      <c r="B87" s="568" t="s">
        <v>95</v>
      </c>
      <c r="C87" s="569">
        <v>8899600000</v>
      </c>
      <c r="D87" s="574"/>
      <c r="E87" s="569">
        <v>2735269790.9699998</v>
      </c>
      <c r="F87" s="571"/>
      <c r="G87" s="569">
        <v>1327517355.9000001</v>
      </c>
      <c r="H87" s="571"/>
      <c r="I87" s="572">
        <f t="shared" si="2"/>
        <v>4836812853.1300001</v>
      </c>
      <c r="J87" s="566">
        <f t="shared" si="3"/>
        <v>0.45651345530922738</v>
      </c>
      <c r="K87" s="561"/>
    </row>
    <row r="88" spans="1:11" x14ac:dyDescent="0.2">
      <c r="A88" s="577"/>
      <c r="B88" s="568" t="s">
        <v>392</v>
      </c>
      <c r="C88" s="569">
        <v>593263570.64999998</v>
      </c>
      <c r="D88" s="574"/>
      <c r="E88" s="569">
        <v>186274875.84999999</v>
      </c>
      <c r="F88" s="571"/>
      <c r="G88" s="569">
        <v>3710244.79</v>
      </c>
      <c r="H88" s="571"/>
      <c r="I88" s="572">
        <f t="shared" si="2"/>
        <v>403278450.00999999</v>
      </c>
      <c r="J88" s="566">
        <f t="shared" si="3"/>
        <v>0.32023729424654501</v>
      </c>
      <c r="K88" s="561"/>
    </row>
    <row r="89" spans="1:11" x14ac:dyDescent="0.2">
      <c r="A89" s="577"/>
      <c r="B89" s="568" t="s">
        <v>96</v>
      </c>
      <c r="C89" s="569">
        <v>806874994</v>
      </c>
      <c r="D89" s="574"/>
      <c r="E89" s="569">
        <v>22531443.350000001</v>
      </c>
      <c r="F89" s="571"/>
      <c r="G89" s="569">
        <v>0</v>
      </c>
      <c r="H89" s="571"/>
      <c r="I89" s="572">
        <f t="shared" si="2"/>
        <v>784343550.64999998</v>
      </c>
      <c r="J89" s="566">
        <f t="shared" si="3"/>
        <v>2.7924329688670462E-2</v>
      </c>
      <c r="K89" s="567"/>
    </row>
    <row r="90" spans="1:11" x14ac:dyDescent="0.2">
      <c r="A90" s="577"/>
      <c r="B90" s="568" t="s">
        <v>97</v>
      </c>
      <c r="C90" s="569">
        <v>0</v>
      </c>
      <c r="D90" s="574" t="s">
        <v>3517</v>
      </c>
      <c r="E90" s="569">
        <v>6245108.29</v>
      </c>
      <c r="F90" s="571"/>
      <c r="G90" s="569">
        <v>0</v>
      </c>
      <c r="H90" s="571"/>
      <c r="I90" s="572">
        <f t="shared" si="2"/>
        <v>-6245108.29</v>
      </c>
      <c r="J90" s="566"/>
      <c r="K90" s="561"/>
    </row>
    <row r="91" spans="1:11" x14ac:dyDescent="0.2">
      <c r="A91" s="577"/>
      <c r="B91" s="568" t="s">
        <v>98</v>
      </c>
      <c r="C91" s="569">
        <v>242000000</v>
      </c>
      <c r="D91" s="574"/>
      <c r="E91" s="569">
        <v>4759474.53</v>
      </c>
      <c r="F91" s="571"/>
      <c r="G91" s="569">
        <v>0</v>
      </c>
      <c r="H91" s="571"/>
      <c r="I91" s="572">
        <f t="shared" si="2"/>
        <v>237240525.47</v>
      </c>
      <c r="J91" s="566">
        <f t="shared" si="3"/>
        <v>1.9667250123966942E-2</v>
      </c>
      <c r="K91" s="561"/>
    </row>
    <row r="92" spans="1:11" x14ac:dyDescent="0.2">
      <c r="A92" s="577"/>
      <c r="B92" s="568" t="s">
        <v>99</v>
      </c>
      <c r="C92" s="569">
        <v>1046565607.5</v>
      </c>
      <c r="D92" s="574"/>
      <c r="E92" s="569">
        <v>168543593.93000001</v>
      </c>
      <c r="F92" s="571"/>
      <c r="G92" s="569">
        <v>45502113.109999999</v>
      </c>
      <c r="H92" s="571"/>
      <c r="I92" s="572">
        <f t="shared" si="2"/>
        <v>832519900.46000004</v>
      </c>
      <c r="J92" s="566">
        <f t="shared" si="3"/>
        <v>0.2045220151570861</v>
      </c>
      <c r="K92" s="561"/>
    </row>
    <row r="93" spans="1:11" x14ac:dyDescent="0.2">
      <c r="A93" s="577"/>
      <c r="B93" s="568"/>
      <c r="C93" s="569"/>
      <c r="D93" s="574"/>
      <c r="E93" s="569"/>
      <c r="F93" s="571"/>
      <c r="G93" s="569"/>
      <c r="H93" s="571"/>
      <c r="I93" s="564"/>
      <c r="J93" s="566"/>
      <c r="K93" s="567"/>
    </row>
    <row r="94" spans="1:11" x14ac:dyDescent="0.2">
      <c r="A94" s="577">
        <v>6</v>
      </c>
      <c r="B94" s="563" t="s">
        <v>1392</v>
      </c>
      <c r="C94" s="564">
        <f>SUM(C95:C96)</f>
        <v>850000000</v>
      </c>
      <c r="D94" s="565"/>
      <c r="E94" s="564">
        <f>SUM(E95:E96)</f>
        <v>220694744.88</v>
      </c>
      <c r="F94" s="564"/>
      <c r="G94" s="564">
        <f>SUM(G95:G96)</f>
        <v>23071497.77</v>
      </c>
      <c r="H94" s="564"/>
      <c r="I94" s="564">
        <f>SUM(I95:I96)</f>
        <v>606233757.3499999</v>
      </c>
      <c r="J94" s="566">
        <f t="shared" si="3"/>
        <v>0.28678381488235294</v>
      </c>
      <c r="K94" s="561"/>
    </row>
    <row r="95" spans="1:11" x14ac:dyDescent="0.2">
      <c r="A95" s="577"/>
      <c r="B95" s="568" t="s">
        <v>94</v>
      </c>
      <c r="C95" s="569">
        <v>355920000</v>
      </c>
      <c r="D95" s="574"/>
      <c r="E95" s="569">
        <v>103022405.15000001</v>
      </c>
      <c r="F95" s="571"/>
      <c r="G95" s="569">
        <v>21305517.02</v>
      </c>
      <c r="H95" s="571"/>
      <c r="I95" s="572">
        <f t="shared" si="2"/>
        <v>231592077.82999998</v>
      </c>
      <c r="J95" s="566">
        <f t="shared" si="3"/>
        <v>0.34931423401326139</v>
      </c>
      <c r="K95" s="561"/>
    </row>
    <row r="96" spans="1:11" x14ac:dyDescent="0.2">
      <c r="A96" s="577"/>
      <c r="B96" s="568" t="s">
        <v>392</v>
      </c>
      <c r="C96" s="569">
        <v>494080000</v>
      </c>
      <c r="D96" s="574"/>
      <c r="E96" s="569">
        <v>117672339.73</v>
      </c>
      <c r="F96" s="571"/>
      <c r="G96" s="569">
        <v>1765980.75</v>
      </c>
      <c r="H96" s="571"/>
      <c r="I96" s="572">
        <f t="shared" si="2"/>
        <v>374641679.51999998</v>
      </c>
      <c r="J96" s="566">
        <f t="shared" si="3"/>
        <v>0.24173882869170984</v>
      </c>
      <c r="K96" s="567"/>
    </row>
    <row r="97" spans="1:11" x14ac:dyDescent="0.2">
      <c r="A97" s="577"/>
      <c r="B97" s="568"/>
      <c r="C97" s="569"/>
      <c r="D97" s="574"/>
      <c r="E97" s="569"/>
      <c r="F97" s="571"/>
      <c r="G97" s="569"/>
      <c r="H97" s="571"/>
      <c r="I97" s="564"/>
      <c r="J97" s="566"/>
      <c r="K97" s="561"/>
    </row>
    <row r="98" spans="1:11" x14ac:dyDescent="0.2">
      <c r="A98" s="577">
        <v>7</v>
      </c>
      <c r="B98" s="563" t="s">
        <v>1776</v>
      </c>
      <c r="C98" s="564">
        <f>SUM(C99)</f>
        <v>2650000000</v>
      </c>
      <c r="D98" s="565"/>
      <c r="E98" s="564">
        <f>SUM(E99)</f>
        <v>914012641.51999998</v>
      </c>
      <c r="F98" s="564"/>
      <c r="G98" s="564">
        <f>SUM(G99)</f>
        <v>27544604.670000002</v>
      </c>
      <c r="H98" s="564"/>
      <c r="I98" s="564">
        <f>SUM(I99)</f>
        <v>1708442753.8099999</v>
      </c>
      <c r="J98" s="566">
        <f t="shared" si="3"/>
        <v>0.35530462120377354</v>
      </c>
      <c r="K98" s="561"/>
    </row>
    <row r="99" spans="1:11" x14ac:dyDescent="0.2">
      <c r="A99" s="577"/>
      <c r="B99" s="568" t="s">
        <v>94</v>
      </c>
      <c r="C99" s="569">
        <v>2650000000</v>
      </c>
      <c r="D99" s="574"/>
      <c r="E99" s="569">
        <v>914012641.51999998</v>
      </c>
      <c r="F99" s="571"/>
      <c r="G99" s="569">
        <v>27544604.670000002</v>
      </c>
      <c r="H99" s="571"/>
      <c r="I99" s="572">
        <f t="shared" si="2"/>
        <v>1708442753.8099999</v>
      </c>
      <c r="J99" s="566">
        <f t="shared" si="3"/>
        <v>0.35530462120377354</v>
      </c>
      <c r="K99" s="561"/>
    </row>
    <row r="100" spans="1:11" x14ac:dyDescent="0.2">
      <c r="A100" s="577"/>
      <c r="B100" s="568"/>
      <c r="C100" s="569"/>
      <c r="D100" s="574"/>
      <c r="E100" s="569"/>
      <c r="F100" s="571"/>
      <c r="G100" s="569"/>
      <c r="H100" s="571"/>
      <c r="I100" s="564"/>
      <c r="J100" s="566"/>
      <c r="K100" s="561"/>
    </row>
    <row r="101" spans="1:11" x14ac:dyDescent="0.2">
      <c r="A101" s="577">
        <v>8</v>
      </c>
      <c r="B101" s="563" t="s">
        <v>1094</v>
      </c>
      <c r="C101" s="564">
        <f>SUM(C102:C107)</f>
        <v>7749500000</v>
      </c>
      <c r="D101" s="565"/>
      <c r="E101" s="564">
        <f>SUM(E102:E107)</f>
        <v>648728268.87</v>
      </c>
      <c r="F101" s="564"/>
      <c r="G101" s="564">
        <f>SUM(G102:G107)</f>
        <v>203064309.39999998</v>
      </c>
      <c r="H101" s="564"/>
      <c r="I101" s="564">
        <f>SUM(I102:I107)</f>
        <v>6897707421.7299995</v>
      </c>
      <c r="J101" s="566">
        <f t="shared" si="3"/>
        <v>0.10991581111942705</v>
      </c>
      <c r="K101" s="561"/>
    </row>
    <row r="102" spans="1:11" x14ac:dyDescent="0.2">
      <c r="A102" s="577"/>
      <c r="B102" s="568" t="s">
        <v>94</v>
      </c>
      <c r="C102" s="569">
        <v>1157754262</v>
      </c>
      <c r="D102" s="574"/>
      <c r="E102" s="569">
        <v>24180008.350000001</v>
      </c>
      <c r="F102" s="571"/>
      <c r="G102" s="569">
        <v>28858921.34</v>
      </c>
      <c r="H102" s="571"/>
      <c r="I102" s="572">
        <f t="shared" si="2"/>
        <v>1104715332.3099999</v>
      </c>
      <c r="J102" s="566">
        <f t="shared" si="3"/>
        <v>4.5811906231617912E-2</v>
      </c>
      <c r="K102" s="561"/>
    </row>
    <row r="103" spans="1:11" x14ac:dyDescent="0.2">
      <c r="A103" s="577"/>
      <c r="B103" s="568" t="s">
        <v>95</v>
      </c>
      <c r="C103" s="569">
        <v>2194376817.75</v>
      </c>
      <c r="D103" s="574"/>
      <c r="E103" s="569">
        <v>514991217.26999998</v>
      </c>
      <c r="F103" s="571"/>
      <c r="G103" s="569">
        <v>122920298.81999999</v>
      </c>
      <c r="H103" s="571"/>
      <c r="I103" s="572">
        <f t="shared" si="2"/>
        <v>1556465301.6600001</v>
      </c>
      <c r="J103" s="566">
        <f t="shared" si="3"/>
        <v>0.29070281408827553</v>
      </c>
      <c r="K103" s="561"/>
    </row>
    <row r="104" spans="1:11" x14ac:dyDescent="0.2">
      <c r="A104" s="577"/>
      <c r="B104" s="568" t="s">
        <v>392</v>
      </c>
      <c r="C104" s="569">
        <v>1174728356.04</v>
      </c>
      <c r="D104" s="574"/>
      <c r="E104" s="569">
        <v>71137042.299999997</v>
      </c>
      <c r="F104" s="571"/>
      <c r="G104" s="569">
        <v>46030649.289999999</v>
      </c>
      <c r="H104" s="571"/>
      <c r="I104" s="572">
        <f t="shared" si="2"/>
        <v>1057560664.4499999</v>
      </c>
      <c r="J104" s="566">
        <f t="shared" si="3"/>
        <v>9.9740242914516317E-2</v>
      </c>
      <c r="K104" s="567"/>
    </row>
    <row r="105" spans="1:11" x14ac:dyDescent="0.2">
      <c r="A105" s="577"/>
      <c r="B105" s="568" t="s">
        <v>96</v>
      </c>
      <c r="C105" s="569">
        <v>620000000</v>
      </c>
      <c r="D105" s="574"/>
      <c r="E105" s="569">
        <v>0</v>
      </c>
      <c r="F105" s="571"/>
      <c r="G105" s="569">
        <v>0</v>
      </c>
      <c r="H105" s="571"/>
      <c r="I105" s="572">
        <f t="shared" si="2"/>
        <v>620000000</v>
      </c>
      <c r="J105" s="566">
        <f t="shared" si="3"/>
        <v>0</v>
      </c>
      <c r="K105" s="561"/>
    </row>
    <row r="106" spans="1:11" x14ac:dyDescent="0.2">
      <c r="A106" s="577"/>
      <c r="B106" s="568" t="s">
        <v>98</v>
      </c>
      <c r="C106" s="569">
        <v>2562640564.21</v>
      </c>
      <c r="D106" s="574"/>
      <c r="E106" s="569">
        <v>31420000.949999999</v>
      </c>
      <c r="F106" s="571"/>
      <c r="G106" s="569">
        <v>5254439.95</v>
      </c>
      <c r="H106" s="571"/>
      <c r="I106" s="572">
        <f t="shared" si="2"/>
        <v>2525966123.3099999</v>
      </c>
      <c r="J106" s="566">
        <f t="shared" si="3"/>
        <v>1.4311191905801209E-2</v>
      </c>
      <c r="K106" s="561"/>
    </row>
    <row r="107" spans="1:11" x14ac:dyDescent="0.2">
      <c r="A107" s="577"/>
      <c r="B107" s="568" t="s">
        <v>99</v>
      </c>
      <c r="C107" s="569">
        <v>40000000</v>
      </c>
      <c r="D107" s="574"/>
      <c r="E107" s="569">
        <v>7000000</v>
      </c>
      <c r="F107" s="571"/>
      <c r="G107" s="569">
        <v>0</v>
      </c>
      <c r="H107" s="571"/>
      <c r="I107" s="572">
        <f t="shared" si="2"/>
        <v>33000000</v>
      </c>
      <c r="J107" s="566">
        <f t="shared" si="3"/>
        <v>0.17499999999999999</v>
      </c>
      <c r="K107" s="561"/>
    </row>
    <row r="108" spans="1:11" x14ac:dyDescent="0.2">
      <c r="A108" s="577"/>
      <c r="B108" s="568"/>
      <c r="C108" s="572"/>
      <c r="D108" s="565"/>
      <c r="E108" s="572"/>
      <c r="F108" s="578"/>
      <c r="G108" s="572"/>
      <c r="H108" s="578"/>
      <c r="I108" s="564"/>
      <c r="J108" s="566"/>
      <c r="K108" s="561"/>
    </row>
    <row r="109" spans="1:11" x14ac:dyDescent="0.2">
      <c r="A109" s="577">
        <v>9</v>
      </c>
      <c r="B109" s="563" t="s">
        <v>1095</v>
      </c>
      <c r="C109" s="564">
        <f>SUM(C110:C117)</f>
        <v>7069913353.2700005</v>
      </c>
      <c r="D109" s="565"/>
      <c r="E109" s="564">
        <f>SUM(E110:E117)</f>
        <v>1446907888.1899998</v>
      </c>
      <c r="F109" s="564"/>
      <c r="G109" s="564">
        <f>SUM(G110:G117)</f>
        <v>723509811.23000002</v>
      </c>
      <c r="H109" s="564"/>
      <c r="I109" s="564">
        <f>SUM(I110:I117)</f>
        <v>4899495653.8499994</v>
      </c>
      <c r="J109" s="566">
        <f t="shared" si="3"/>
        <v>0.30699353598387896</v>
      </c>
      <c r="K109" s="561"/>
    </row>
    <row r="110" spans="1:11" x14ac:dyDescent="0.2">
      <c r="A110" s="577"/>
      <c r="B110" s="568" t="s">
        <v>94</v>
      </c>
      <c r="C110" s="569">
        <v>2352664758.6199999</v>
      </c>
      <c r="D110" s="574"/>
      <c r="E110" s="569">
        <v>946243110.65999997</v>
      </c>
      <c r="F110" s="571"/>
      <c r="G110" s="569">
        <v>127469114.05</v>
      </c>
      <c r="H110" s="571"/>
      <c r="I110" s="572">
        <f t="shared" si="2"/>
        <v>1278952533.9099998</v>
      </c>
      <c r="J110" s="566">
        <f t="shared" si="3"/>
        <v>0.4563813100765815</v>
      </c>
      <c r="K110" s="561"/>
    </row>
    <row r="111" spans="1:11" x14ac:dyDescent="0.2">
      <c r="A111" s="577"/>
      <c r="B111" s="568" t="s">
        <v>95</v>
      </c>
      <c r="C111" s="569">
        <v>289782077.06999999</v>
      </c>
      <c r="D111" s="574"/>
      <c r="E111" s="569">
        <v>77751540.599999994</v>
      </c>
      <c r="F111" s="571"/>
      <c r="G111" s="569">
        <v>8785224.6199999992</v>
      </c>
      <c r="H111" s="571"/>
      <c r="I111" s="572">
        <f t="shared" si="2"/>
        <v>203245311.84999999</v>
      </c>
      <c r="J111" s="566">
        <f t="shared" si="3"/>
        <v>0.29862704448452176</v>
      </c>
      <c r="K111" s="561"/>
    </row>
    <row r="112" spans="1:11" x14ac:dyDescent="0.2">
      <c r="A112" s="577"/>
      <c r="B112" s="568" t="s">
        <v>392</v>
      </c>
      <c r="C112" s="569">
        <v>310453490.39999998</v>
      </c>
      <c r="D112" s="574"/>
      <c r="E112" s="569">
        <v>7265175.2699999996</v>
      </c>
      <c r="F112" s="571"/>
      <c r="G112" s="569">
        <v>4548222.28</v>
      </c>
      <c r="H112" s="571"/>
      <c r="I112" s="572">
        <f t="shared" si="2"/>
        <v>298640092.84999996</v>
      </c>
      <c r="J112" s="566">
        <f t="shared" si="3"/>
        <v>3.8052068716570631E-2</v>
      </c>
      <c r="K112" s="561"/>
    </row>
    <row r="113" spans="1:11" x14ac:dyDescent="0.2">
      <c r="A113" s="577"/>
      <c r="B113" s="568" t="s">
        <v>96</v>
      </c>
      <c r="C113" s="569">
        <v>291450900</v>
      </c>
      <c r="D113" s="574"/>
      <c r="E113" s="569">
        <v>169838439.59999999</v>
      </c>
      <c r="F113" s="571"/>
      <c r="G113" s="569">
        <v>31248000</v>
      </c>
      <c r="H113" s="571"/>
      <c r="I113" s="572">
        <f t="shared" si="2"/>
        <v>90364460.400000006</v>
      </c>
      <c r="J113" s="566">
        <f t="shared" si="3"/>
        <v>0.68994962650655733</v>
      </c>
      <c r="K113" s="561"/>
    </row>
    <row r="114" spans="1:11" x14ac:dyDescent="0.2">
      <c r="A114" s="577"/>
      <c r="B114" s="568" t="s">
        <v>97</v>
      </c>
      <c r="C114" s="569">
        <v>160474546.43000001</v>
      </c>
      <c r="D114" s="574"/>
      <c r="E114" s="569">
        <v>54052291.009999998</v>
      </c>
      <c r="F114" s="571"/>
      <c r="G114" s="569">
        <v>18764799.43</v>
      </c>
      <c r="H114" s="571"/>
      <c r="I114" s="572">
        <f t="shared" si="2"/>
        <v>87657455.99000001</v>
      </c>
      <c r="J114" s="566">
        <f t="shared" si="3"/>
        <v>0.45376099861271935</v>
      </c>
      <c r="K114" s="567"/>
    </row>
    <row r="115" spans="1:11" x14ac:dyDescent="0.2">
      <c r="A115" s="577"/>
      <c r="B115" s="568" t="s">
        <v>98</v>
      </c>
      <c r="C115" s="569">
        <v>3610491208.4200001</v>
      </c>
      <c r="D115" s="574"/>
      <c r="E115" s="569">
        <v>149979335.62</v>
      </c>
      <c r="F115" s="571"/>
      <c r="G115" s="569">
        <v>489270948.39999998</v>
      </c>
      <c r="H115" s="571"/>
      <c r="I115" s="572">
        <f t="shared" si="2"/>
        <v>2971240924.4000001</v>
      </c>
      <c r="J115" s="566">
        <f t="shared" si="3"/>
        <v>0.17705354953619859</v>
      </c>
      <c r="K115" s="561"/>
    </row>
    <row r="116" spans="1:11" x14ac:dyDescent="0.2">
      <c r="A116" s="577"/>
      <c r="B116" s="568" t="s">
        <v>99</v>
      </c>
      <c r="C116" s="569">
        <v>51561823.329999998</v>
      </c>
      <c r="D116" s="574" t="s">
        <v>3518</v>
      </c>
      <c r="E116" s="569">
        <v>41777995.43</v>
      </c>
      <c r="F116" s="571"/>
      <c r="G116" s="569">
        <v>40388953.450000003</v>
      </c>
      <c r="H116" s="571"/>
      <c r="I116" s="572">
        <f t="shared" si="2"/>
        <v>-30605125.549999997</v>
      </c>
      <c r="J116" s="566">
        <f t="shared" si="3"/>
        <v>1.5935617395475841</v>
      </c>
      <c r="K116" s="561"/>
    </row>
    <row r="117" spans="1:11" x14ac:dyDescent="0.2">
      <c r="A117" s="577"/>
      <c r="B117" s="568" t="s">
        <v>122</v>
      </c>
      <c r="C117" s="569">
        <v>3034549</v>
      </c>
      <c r="D117" s="574"/>
      <c r="E117" s="569">
        <v>0</v>
      </c>
      <c r="F117" s="571"/>
      <c r="G117" s="569">
        <v>3034549</v>
      </c>
      <c r="H117" s="571"/>
      <c r="I117" s="572">
        <f t="shared" si="2"/>
        <v>0</v>
      </c>
      <c r="J117" s="566">
        <f t="shared" si="3"/>
        <v>1</v>
      </c>
      <c r="K117" s="561"/>
    </row>
    <row r="118" spans="1:11" s="575" customFormat="1" x14ac:dyDescent="0.2">
      <c r="A118" s="554"/>
      <c r="B118" s="568"/>
      <c r="C118" s="569"/>
      <c r="D118" s="574"/>
      <c r="E118" s="569"/>
      <c r="F118" s="571"/>
      <c r="G118" s="569"/>
      <c r="H118" s="571"/>
      <c r="I118" s="564"/>
      <c r="J118" s="566"/>
      <c r="K118" s="567"/>
    </row>
    <row r="119" spans="1:11" x14ac:dyDescent="0.2">
      <c r="A119" s="577">
        <v>10</v>
      </c>
      <c r="B119" s="563" t="s">
        <v>1774</v>
      </c>
      <c r="C119" s="564">
        <f>SUM(C120:C124)</f>
        <v>12029947681.49</v>
      </c>
      <c r="D119" s="565"/>
      <c r="E119" s="564">
        <f>SUM(E120:E124)</f>
        <v>2322384367.96</v>
      </c>
      <c r="F119" s="564"/>
      <c r="G119" s="564">
        <f>SUM(G120:G124)</f>
        <v>6751162179.4899998</v>
      </c>
      <c r="H119" s="564"/>
      <c r="I119" s="564">
        <f>SUM(I120:I124)</f>
        <v>2956401134.0399995</v>
      </c>
      <c r="J119" s="566">
        <f t="shared" si="3"/>
        <v>0.75424655099798188</v>
      </c>
      <c r="K119" s="567"/>
    </row>
    <row r="120" spans="1:11" x14ac:dyDescent="0.2">
      <c r="A120" s="577"/>
      <c r="B120" s="568" t="s">
        <v>94</v>
      </c>
      <c r="C120" s="569">
        <v>5487161.29</v>
      </c>
      <c r="D120" s="574"/>
      <c r="E120" s="569">
        <v>0</v>
      </c>
      <c r="F120" s="571"/>
      <c r="G120" s="569">
        <v>0</v>
      </c>
      <c r="H120" s="571"/>
      <c r="I120" s="572">
        <f t="shared" si="2"/>
        <v>5487161.29</v>
      </c>
      <c r="J120" s="566">
        <f t="shared" si="3"/>
        <v>0</v>
      </c>
      <c r="K120" s="561"/>
    </row>
    <row r="121" spans="1:11" x14ac:dyDescent="0.2">
      <c r="A121" s="577"/>
      <c r="B121" s="568" t="s">
        <v>95</v>
      </c>
      <c r="C121" s="569">
        <v>2106736233</v>
      </c>
      <c r="D121" s="574"/>
      <c r="E121" s="569">
        <v>456332802.5</v>
      </c>
      <c r="F121" s="571"/>
      <c r="G121" s="569">
        <v>130593474.44</v>
      </c>
      <c r="H121" s="571"/>
      <c r="I121" s="572">
        <f t="shared" si="2"/>
        <v>1519809956.0599999</v>
      </c>
      <c r="J121" s="566">
        <f t="shared" si="3"/>
        <v>0.27859504561907822</v>
      </c>
      <c r="K121" s="579"/>
    </row>
    <row r="122" spans="1:11" x14ac:dyDescent="0.2">
      <c r="A122" s="577"/>
      <c r="B122" s="568" t="s">
        <v>98</v>
      </c>
      <c r="C122" s="569">
        <v>109704480</v>
      </c>
      <c r="D122" s="574" t="s">
        <v>3519</v>
      </c>
      <c r="E122" s="569">
        <v>52275836.009999998</v>
      </c>
      <c r="F122" s="571"/>
      <c r="G122" s="569">
        <v>132823319.63</v>
      </c>
      <c r="H122" s="571"/>
      <c r="I122" s="572">
        <f t="shared" si="2"/>
        <v>-75394675.639999986</v>
      </c>
      <c r="J122" s="566">
        <f t="shared" si="3"/>
        <v>1.6872524772005664</v>
      </c>
      <c r="K122" s="579"/>
    </row>
    <row r="123" spans="1:11" x14ac:dyDescent="0.2">
      <c r="A123" s="577"/>
      <c r="B123" s="568" t="s">
        <v>99</v>
      </c>
      <c r="C123" s="569">
        <v>503085350.19999999</v>
      </c>
      <c r="D123" s="574"/>
      <c r="E123" s="569">
        <v>27296129.600000001</v>
      </c>
      <c r="F123" s="571"/>
      <c r="G123" s="569">
        <v>0</v>
      </c>
      <c r="H123" s="571"/>
      <c r="I123" s="572">
        <f t="shared" si="2"/>
        <v>475789220.59999996</v>
      </c>
      <c r="J123" s="566">
        <f t="shared" si="3"/>
        <v>5.4257452714829624E-2</v>
      </c>
    </row>
    <row r="124" spans="1:11" x14ac:dyDescent="0.2">
      <c r="A124" s="577"/>
      <c r="B124" s="568" t="s">
        <v>122</v>
      </c>
      <c r="C124" s="569">
        <v>9304934457</v>
      </c>
      <c r="D124" s="574"/>
      <c r="E124" s="569">
        <v>1786479599.8499999</v>
      </c>
      <c r="F124" s="571"/>
      <c r="G124" s="569">
        <v>6487745385.4200001</v>
      </c>
      <c r="H124" s="571"/>
      <c r="I124" s="572">
        <f t="shared" si="2"/>
        <v>1030709471.7299995</v>
      </c>
      <c r="J124" s="566">
        <f t="shared" si="3"/>
        <v>0.88922979774945021</v>
      </c>
    </row>
    <row r="125" spans="1:11" x14ac:dyDescent="0.2">
      <c r="A125" s="577"/>
      <c r="B125" s="568"/>
      <c r="C125" s="569"/>
      <c r="D125" s="574"/>
      <c r="E125" s="569"/>
      <c r="F125" s="571"/>
      <c r="G125" s="569"/>
      <c r="H125" s="571"/>
      <c r="I125" s="564"/>
      <c r="J125" s="566"/>
    </row>
    <row r="126" spans="1:11" x14ac:dyDescent="0.2">
      <c r="A126" s="577"/>
      <c r="B126" s="563" t="s">
        <v>100</v>
      </c>
      <c r="C126" s="564">
        <f>C5+C14+C21+C81+C85+C94+C98+C101+C109+C119</f>
        <v>347547528399.69006</v>
      </c>
      <c r="D126" s="565"/>
      <c r="E126" s="564">
        <f>E5+E14+E21+E81+E85+E94+E98+E101+E109+E119</f>
        <v>145230668185.56998</v>
      </c>
      <c r="F126" s="564"/>
      <c r="G126" s="564">
        <f>G5+G14+G21+G81+G85+G94+G98+G101+G109+G119</f>
        <v>22035832988.720001</v>
      </c>
      <c r="H126" s="564"/>
      <c r="I126" s="564">
        <f>I5+I14+I21+I81+I85+I94+I98+I101+I109+I119</f>
        <v>180281027225.40002</v>
      </c>
      <c r="J126" s="566">
        <f>(G126+E126)/C126</f>
        <v>0.48127662407637234</v>
      </c>
    </row>
    <row r="127" spans="1:11" x14ac:dyDescent="0.2">
      <c r="B127" s="580"/>
    </row>
    <row r="128" spans="1:11" x14ac:dyDescent="0.2">
      <c r="A128" s="582"/>
      <c r="B128" s="583"/>
      <c r="C128" s="582"/>
      <c r="D128" s="584"/>
      <c r="E128" s="582"/>
      <c r="F128" s="582"/>
      <c r="G128" s="582"/>
      <c r="H128" s="582"/>
      <c r="J128" s="585"/>
    </row>
    <row r="129" spans="1:11" x14ac:dyDescent="0.2">
      <c r="B129" s="586" t="s">
        <v>3436</v>
      </c>
      <c r="C129" s="587"/>
    </row>
    <row r="130" spans="1:11" x14ac:dyDescent="0.2">
      <c r="B130" s="580"/>
    </row>
    <row r="131" spans="1:11" x14ac:dyDescent="0.2">
      <c r="B131" s="1081" t="s">
        <v>3520</v>
      </c>
      <c r="C131" s="1081"/>
      <c r="D131" s="1081"/>
      <c r="E131" s="1081"/>
      <c r="F131" s="1081"/>
      <c r="G131" s="1081"/>
      <c r="H131" s="1081"/>
      <c r="I131" s="1081"/>
      <c r="J131" s="1081"/>
    </row>
    <row r="132" spans="1:11" x14ac:dyDescent="0.2">
      <c r="B132" s="1081" t="s">
        <v>3521</v>
      </c>
      <c r="C132" s="1081"/>
      <c r="D132" s="1081"/>
      <c r="E132" s="1081"/>
      <c r="F132" s="1081"/>
      <c r="G132" s="1081"/>
      <c r="H132" s="1081"/>
      <c r="I132" s="1081"/>
      <c r="J132" s="1081"/>
    </row>
    <row r="133" spans="1:11" x14ac:dyDescent="0.2">
      <c r="B133" s="1081" t="s">
        <v>3522</v>
      </c>
      <c r="C133" s="1081"/>
      <c r="D133" s="1081"/>
      <c r="E133" s="1081"/>
      <c r="F133" s="1081"/>
      <c r="G133" s="1081"/>
      <c r="H133" s="1081"/>
      <c r="I133" s="1081"/>
      <c r="J133" s="1081"/>
    </row>
    <row r="134" spans="1:11" x14ac:dyDescent="0.2">
      <c r="B134" s="1081" t="s">
        <v>3523</v>
      </c>
      <c r="C134" s="1081"/>
      <c r="D134" s="1081"/>
      <c r="E134" s="1081"/>
      <c r="F134" s="1081"/>
      <c r="G134" s="1081"/>
      <c r="H134" s="1081"/>
      <c r="I134" s="1081"/>
      <c r="J134" s="1081"/>
    </row>
    <row r="135" spans="1:11" x14ac:dyDescent="0.2">
      <c r="B135" s="1081" t="s">
        <v>3524</v>
      </c>
      <c r="C135" s="1081"/>
      <c r="D135" s="1081"/>
      <c r="E135" s="1081"/>
      <c r="F135" s="1081"/>
      <c r="G135" s="1081"/>
      <c r="H135" s="1081"/>
      <c r="I135" s="1081"/>
      <c r="J135" s="1081"/>
    </row>
    <row r="136" spans="1:11" x14ac:dyDescent="0.2">
      <c r="B136" s="1081" t="s">
        <v>3525</v>
      </c>
      <c r="C136" s="1081"/>
      <c r="D136" s="1081"/>
      <c r="E136" s="1081"/>
      <c r="F136" s="1081"/>
      <c r="G136" s="1081"/>
      <c r="H136" s="1081"/>
      <c r="I136" s="1081"/>
      <c r="J136" s="1081"/>
    </row>
    <row r="137" spans="1:11" x14ac:dyDescent="0.2">
      <c r="B137" s="1081" t="s">
        <v>3526</v>
      </c>
      <c r="C137" s="1081"/>
      <c r="D137" s="1081"/>
      <c r="E137" s="1081"/>
      <c r="F137" s="1081"/>
      <c r="G137" s="1081"/>
      <c r="H137" s="1081"/>
      <c r="I137" s="1081"/>
      <c r="J137" s="1081"/>
    </row>
    <row r="138" spans="1:11" x14ac:dyDescent="0.2">
      <c r="A138" s="562"/>
      <c r="B138" s="580"/>
      <c r="J138" s="562"/>
      <c r="K138" s="562"/>
    </row>
    <row r="139" spans="1:11" x14ac:dyDescent="0.2">
      <c r="A139" s="562"/>
      <c r="B139" s="580"/>
      <c r="J139" s="562"/>
      <c r="K139" s="562"/>
    </row>
    <row r="140" spans="1:11" x14ac:dyDescent="0.2">
      <c r="A140" s="562"/>
      <c r="B140" s="580"/>
      <c r="J140" s="562"/>
      <c r="K140" s="562"/>
    </row>
    <row r="141" spans="1:11" x14ac:dyDescent="0.2">
      <c r="A141" s="562"/>
      <c r="B141" s="580"/>
      <c r="J141" s="562"/>
      <c r="K141" s="562"/>
    </row>
    <row r="142" spans="1:11" x14ac:dyDescent="0.2">
      <c r="A142" s="562"/>
      <c r="B142" s="580"/>
      <c r="J142" s="562"/>
      <c r="K142" s="562"/>
    </row>
  </sheetData>
  <mergeCells count="8">
    <mergeCell ref="A1:J1"/>
    <mergeCell ref="B137:J137"/>
    <mergeCell ref="B131:J131"/>
    <mergeCell ref="B132:J132"/>
    <mergeCell ref="B133:J133"/>
    <mergeCell ref="B134:J134"/>
    <mergeCell ref="B135:J135"/>
    <mergeCell ref="B136:J136"/>
  </mergeCells>
  <phoneticPr fontId="0" type="noConversion"/>
  <printOptions horizontalCentered="1"/>
  <pageMargins left="0.39370078740157483" right="0.39370078740157483" top="1.2598425196850394" bottom="0.9055118110236221" header="0.74803149606299213" footer="0.47244094488188981"/>
  <pageSetup scale="70" firstPageNumber="18" orientation="portrait" r:id="rId1"/>
  <headerFooter alignWithMargins="0">
    <oddHeader xml:space="preserve">&amp;C&amp;"Arial Negrita,Negrita"&amp;K000000UNIVERSIDAD DE COSTA RICA
VICERRECTORÍA DE ADMINISTRACIÓN
OFICINA DE ADMINISTRACIÓN FINANCIERA&amp;R&amp;"Arial Negrita,Negrita"&amp;K000000
</oddHeader>
    <oddFooter>&amp;C&amp;12&amp;P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A9" sqref="A9"/>
    </sheetView>
  </sheetViews>
  <sheetFormatPr baseColWidth="10" defaultColWidth="11.42578125" defaultRowHeight="12.75" x14ac:dyDescent="0.2"/>
  <sheetData/>
  <phoneticPr fontId="0" type="noConversion"/>
  <printOptions horizontalCentered="1" verticalCentered="1"/>
  <pageMargins left="0.98" right="0.75" top="1.55" bottom="1" header="0" footer="0"/>
  <pageSetup paperSize="9" scale="9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P1" zoomScale="60" zoomScaleNormal="60" workbookViewId="0">
      <selection activeCell="AJ49" sqref="AJ49"/>
    </sheetView>
  </sheetViews>
  <sheetFormatPr baseColWidth="10" defaultRowHeight="12.75" x14ac:dyDescent="0.2"/>
  <sheetData/>
  <phoneticPr fontId="0" type="noConversion"/>
  <pageMargins left="1.1811023622047245" right="0.78740157480314965" top="1.1811023622047245" bottom="0.98425196850393704" header="0" footer="0.6692913385826772"/>
  <pageSetup pageOrder="overThenDown" orientation="portrait" errors="NA" r:id="rId1"/>
  <headerFooter alignWithMargins="0">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O45"/>
  <sheetViews>
    <sheetView topLeftCell="AU1" zoomScale="60" zoomScaleNormal="60" zoomScalePageLayoutView="60" workbookViewId="0">
      <selection activeCell="AW59" sqref="AW59"/>
    </sheetView>
  </sheetViews>
  <sheetFormatPr baseColWidth="10" defaultRowHeight="12.75" x14ac:dyDescent="0.2"/>
  <cols>
    <col min="7" max="7" width="21.7109375" customWidth="1"/>
    <col min="30" max="30" width="17.28515625" bestFit="1" customWidth="1"/>
    <col min="39" max="39" width="12.85546875" customWidth="1"/>
    <col min="41" max="41" width="10.42578125" customWidth="1"/>
    <col min="48" max="49" width="10.85546875" customWidth="1"/>
  </cols>
  <sheetData>
    <row r="1" spans="1:145" x14ac:dyDescent="0.2">
      <c r="A1" s="4"/>
      <c r="X1" s="141"/>
      <c r="Y1" s="141"/>
      <c r="Z1" s="141"/>
      <c r="AA1" s="141"/>
      <c r="AB1" s="141"/>
      <c r="AF1" s="178"/>
      <c r="AG1" s="178"/>
      <c r="AH1" s="178"/>
      <c r="AI1" s="178"/>
      <c r="AJ1" s="178"/>
      <c r="AV1" s="141"/>
      <c r="AW1" s="141"/>
      <c r="AX1" s="141"/>
      <c r="AY1" s="141"/>
      <c r="AZ1" s="141"/>
      <c r="BA1" s="141"/>
      <c r="BB1" s="141"/>
      <c r="BD1" s="178"/>
      <c r="BE1" s="178"/>
      <c r="BF1" s="178"/>
      <c r="BG1" s="178"/>
      <c r="BH1" s="178"/>
      <c r="BI1" s="178"/>
      <c r="BJ1" s="178"/>
    </row>
    <row r="7" spans="1:145" x14ac:dyDescent="0.2">
      <c r="X7" s="141"/>
      <c r="Y7" s="141"/>
      <c r="Z7" s="141"/>
      <c r="AA7" s="141"/>
      <c r="AB7" s="141"/>
      <c r="AF7" s="178"/>
      <c r="AG7" s="178"/>
      <c r="AH7" s="178"/>
      <c r="AI7" s="178"/>
      <c r="AJ7" s="178"/>
      <c r="AV7" s="141"/>
      <c r="AW7" s="141"/>
      <c r="AX7" s="141"/>
      <c r="AY7" s="141"/>
      <c r="AZ7" s="141"/>
      <c r="BA7" s="141"/>
      <c r="BB7" s="141"/>
      <c r="BD7" s="178"/>
      <c r="BE7" s="178"/>
      <c r="BF7" s="178"/>
      <c r="BG7" s="178"/>
      <c r="BH7" s="178"/>
      <c r="BI7" s="178"/>
      <c r="BJ7" s="178"/>
      <c r="EG7" s="17"/>
      <c r="EO7" s="17"/>
    </row>
    <row r="31" spans="137:137" x14ac:dyDescent="0.2">
      <c r="EG31" s="17"/>
    </row>
    <row r="45" spans="137:137" x14ac:dyDescent="0.2">
      <c r="EG45" s="17"/>
    </row>
  </sheetData>
  <phoneticPr fontId="0" type="noConversion"/>
  <pageMargins left="0.98425196850393704" right="0.78740157480314965" top="1.1811023622047245" bottom="1.1811023622047245" header="0.39370078740157483" footer="0.86614173228346458"/>
  <pageSetup scale="90" pageOrder="overThenDown" orientation="portrait" r:id="rId1"/>
  <headerFooter alignWithMargins="0">
    <oddFooter>&amp;C&amp;P</oddFooter>
  </headerFooter>
  <colBreaks count="1" manualBreakCount="1">
    <brk id="7"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C11" sqref="C11"/>
    </sheetView>
  </sheetViews>
  <sheetFormatPr baseColWidth="10" defaultRowHeight="12.75" x14ac:dyDescent="0.2"/>
  <sheetData/>
  <phoneticPr fontId="0" type="noConversion"/>
  <printOptions horizontalCentered="1" verticalCentered="1"/>
  <pageMargins left="1.1811023622047245" right="0.74803149606299213" top="0" bottom="0.98425196850393704" header="0" footer="0"/>
  <pageSetup paperSize="9" scale="9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48"/>
  <sheetViews>
    <sheetView topLeftCell="A23" zoomScale="90" zoomScaleNormal="90" workbookViewId="0">
      <selection activeCell="M57" sqref="M57"/>
    </sheetView>
  </sheetViews>
  <sheetFormatPr baseColWidth="10" defaultRowHeight="12.75" x14ac:dyDescent="0.2"/>
  <cols>
    <col min="3" max="3" width="11.7109375" customWidth="1"/>
    <col min="15" max="15" width="13.140625" customWidth="1"/>
  </cols>
  <sheetData>
    <row r="1" spans="1:1" x14ac:dyDescent="0.2">
      <c r="A1" s="10"/>
    </row>
    <row r="19" spans="1:1" x14ac:dyDescent="0.2">
      <c r="A19" s="2"/>
    </row>
    <row r="48" spans="11:11" x14ac:dyDescent="0.2">
      <c r="K48" t="s">
        <v>468</v>
      </c>
    </row>
  </sheetData>
  <phoneticPr fontId="0" type="noConversion"/>
  <printOptions horizontalCentered="1"/>
  <pageMargins left="0.98425196850393704" right="0.98425196850393704" top="0.98425196850393704" bottom="0.59055118110236227" header="0.35433070866141736" footer="0"/>
  <pageSetup scale="85" firstPageNumber="8" orientation="portrait" r:id="rId1"/>
  <headerFooter alignWithMargins="0">
    <oddHeader xml:space="preserve">&amp;R&amp;"Arial,Negrita"
</oddHeader>
  </headerFooter>
  <rowBreaks count="1" manualBreakCount="1">
    <brk id="49"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9"/>
  <sheetViews>
    <sheetView workbookViewId="0">
      <selection activeCell="I35" sqref="I35"/>
    </sheetView>
  </sheetViews>
  <sheetFormatPr baseColWidth="10" defaultRowHeight="12.75" x14ac:dyDescent="0.2"/>
  <sheetData>
    <row r="19" spans="1:1" x14ac:dyDescent="0.2">
      <c r="A19" s="2"/>
    </row>
  </sheetData>
  <phoneticPr fontId="0" type="noConversion"/>
  <printOptions horizontalCentered="1" verticalCentered="1"/>
  <pageMargins left="1.1811023622047245" right="0.74803149606299213" top="0" bottom="0.98425196850393704" header="0" footer="0"/>
  <pageSetup paperSize="9" firstPageNumber="32"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R135"/>
  <sheetViews>
    <sheetView zoomScale="90" zoomScaleNormal="90" zoomScalePageLayoutView="90" workbookViewId="0">
      <selection activeCell="A124" sqref="A124"/>
    </sheetView>
  </sheetViews>
  <sheetFormatPr baseColWidth="10" defaultColWidth="11.28515625" defaultRowHeight="14.25" x14ac:dyDescent="0.2"/>
  <cols>
    <col min="1" max="1" width="36.140625" style="236" customWidth="1"/>
    <col min="2" max="2" width="0.7109375" style="236" customWidth="1"/>
    <col min="3" max="3" width="7.7109375" style="236" bestFit="1" customWidth="1"/>
    <col min="4" max="4" width="0.85546875" style="236" customWidth="1"/>
    <col min="5" max="5" width="18.85546875" style="236" bestFit="1" customWidth="1"/>
    <col min="6" max="6" width="0.85546875" style="236" customWidth="1"/>
    <col min="7" max="7" width="18.7109375" style="236" bestFit="1" customWidth="1"/>
    <col min="8" max="8" width="0.85546875" style="236" customWidth="1"/>
    <col min="9" max="9" width="18.85546875" style="236" bestFit="1" customWidth="1"/>
    <col min="10" max="10" width="0.42578125" style="236" customWidth="1"/>
    <col min="11" max="11" width="18.7109375" style="236" bestFit="1" customWidth="1"/>
    <col min="12" max="12" width="1" style="236" customWidth="1"/>
    <col min="13" max="13" width="17.42578125" style="236" bestFit="1" customWidth="1"/>
    <col min="14" max="14" width="1.140625" style="236" customWidth="1"/>
    <col min="15" max="15" width="16.28515625" style="236" bestFit="1" customWidth="1"/>
    <col min="16" max="16" width="1" style="236" customWidth="1"/>
    <col min="17" max="17" width="9.42578125" style="319" bestFit="1" customWidth="1"/>
    <col min="18" max="18" width="8.7109375" style="234" bestFit="1" customWidth="1"/>
    <col min="19" max="256" width="11.28515625" style="236"/>
    <col min="257" max="257" width="31.42578125" style="236" customWidth="1"/>
    <col min="258" max="258" width="1.42578125" style="236" customWidth="1"/>
    <col min="259" max="259" width="7.7109375" style="236" bestFit="1" customWidth="1"/>
    <col min="260" max="260" width="1.42578125" style="236" customWidth="1"/>
    <col min="261" max="261" width="18" style="236" bestFit="1" customWidth="1"/>
    <col min="262" max="262" width="1.42578125" style="236" customWidth="1"/>
    <col min="263" max="263" width="17.28515625" style="236" bestFit="1" customWidth="1"/>
    <col min="264" max="264" width="1.42578125" style="236" customWidth="1"/>
    <col min="265" max="265" width="18" style="236" bestFit="1" customWidth="1"/>
    <col min="266" max="266" width="1.42578125" style="236" customWidth="1"/>
    <col min="267" max="267" width="17.28515625" style="236" bestFit="1" customWidth="1"/>
    <col min="268" max="268" width="1.42578125" style="236" customWidth="1"/>
    <col min="269" max="269" width="16.28515625" style="236" bestFit="1" customWidth="1"/>
    <col min="270" max="270" width="1.42578125" style="236" customWidth="1"/>
    <col min="271" max="271" width="17" style="236" bestFit="1" customWidth="1"/>
    <col min="272" max="272" width="1.42578125" style="236" customWidth="1"/>
    <col min="273" max="273" width="8.85546875" style="236" bestFit="1" customWidth="1"/>
    <col min="274" max="274" width="8.7109375" style="236" bestFit="1" customWidth="1"/>
    <col min="275" max="512" width="11.28515625" style="236"/>
    <col min="513" max="513" width="31.42578125" style="236" customWidth="1"/>
    <col min="514" max="514" width="1.42578125" style="236" customWidth="1"/>
    <col min="515" max="515" width="7.7109375" style="236" bestFit="1" customWidth="1"/>
    <col min="516" max="516" width="1.42578125" style="236" customWidth="1"/>
    <col min="517" max="517" width="18" style="236" bestFit="1" customWidth="1"/>
    <col min="518" max="518" width="1.42578125" style="236" customWidth="1"/>
    <col min="519" max="519" width="17.28515625" style="236" bestFit="1" customWidth="1"/>
    <col min="520" max="520" width="1.42578125" style="236" customWidth="1"/>
    <col min="521" max="521" width="18" style="236" bestFit="1" customWidth="1"/>
    <col min="522" max="522" width="1.42578125" style="236" customWidth="1"/>
    <col min="523" max="523" width="17.28515625" style="236" bestFit="1" customWidth="1"/>
    <col min="524" max="524" width="1.42578125" style="236" customWidth="1"/>
    <col min="525" max="525" width="16.28515625" style="236" bestFit="1" customWidth="1"/>
    <col min="526" max="526" width="1.42578125" style="236" customWidth="1"/>
    <col min="527" max="527" width="17" style="236" bestFit="1" customWidth="1"/>
    <col min="528" max="528" width="1.42578125" style="236" customWidth="1"/>
    <col min="529" max="529" width="8.85546875" style="236" bestFit="1" customWidth="1"/>
    <col min="530" max="530" width="8.7109375" style="236" bestFit="1" customWidth="1"/>
    <col min="531" max="768" width="11.28515625" style="236"/>
    <col min="769" max="769" width="31.42578125" style="236" customWidth="1"/>
    <col min="770" max="770" width="1.42578125" style="236" customWidth="1"/>
    <col min="771" max="771" width="7.7109375" style="236" bestFit="1" customWidth="1"/>
    <col min="772" max="772" width="1.42578125" style="236" customWidth="1"/>
    <col min="773" max="773" width="18" style="236" bestFit="1" customWidth="1"/>
    <col min="774" max="774" width="1.42578125" style="236" customWidth="1"/>
    <col min="775" max="775" width="17.28515625" style="236" bestFit="1" customWidth="1"/>
    <col min="776" max="776" width="1.42578125" style="236" customWidth="1"/>
    <col min="777" max="777" width="18" style="236" bestFit="1" customWidth="1"/>
    <col min="778" max="778" width="1.42578125" style="236" customWidth="1"/>
    <col min="779" max="779" width="17.28515625" style="236" bestFit="1" customWidth="1"/>
    <col min="780" max="780" width="1.42578125" style="236" customWidth="1"/>
    <col min="781" max="781" width="16.28515625" style="236" bestFit="1" customWidth="1"/>
    <col min="782" max="782" width="1.42578125" style="236" customWidth="1"/>
    <col min="783" max="783" width="17" style="236" bestFit="1" customWidth="1"/>
    <col min="784" max="784" width="1.42578125" style="236" customWidth="1"/>
    <col min="785" max="785" width="8.85546875" style="236" bestFit="1" customWidth="1"/>
    <col min="786" max="786" width="8.7109375" style="236" bestFit="1" customWidth="1"/>
    <col min="787" max="1024" width="11.28515625" style="236"/>
    <col min="1025" max="1025" width="31.42578125" style="236" customWidth="1"/>
    <col min="1026" max="1026" width="1.42578125" style="236" customWidth="1"/>
    <col min="1027" max="1027" width="7.7109375" style="236" bestFit="1" customWidth="1"/>
    <col min="1028" max="1028" width="1.42578125" style="236" customWidth="1"/>
    <col min="1029" max="1029" width="18" style="236" bestFit="1" customWidth="1"/>
    <col min="1030" max="1030" width="1.42578125" style="236" customWidth="1"/>
    <col min="1031" max="1031" width="17.28515625" style="236" bestFit="1" customWidth="1"/>
    <col min="1032" max="1032" width="1.42578125" style="236" customWidth="1"/>
    <col min="1033" max="1033" width="18" style="236" bestFit="1" customWidth="1"/>
    <col min="1034" max="1034" width="1.42578125" style="236" customWidth="1"/>
    <col min="1035" max="1035" width="17.28515625" style="236" bestFit="1" customWidth="1"/>
    <col min="1036" max="1036" width="1.42578125" style="236" customWidth="1"/>
    <col min="1037" max="1037" width="16.28515625" style="236" bestFit="1" customWidth="1"/>
    <col min="1038" max="1038" width="1.42578125" style="236" customWidth="1"/>
    <col min="1039" max="1039" width="17" style="236" bestFit="1" customWidth="1"/>
    <col min="1040" max="1040" width="1.42578125" style="236" customWidth="1"/>
    <col min="1041" max="1041" width="8.85546875" style="236" bestFit="1" customWidth="1"/>
    <col min="1042" max="1042" width="8.7109375" style="236" bestFit="1" customWidth="1"/>
    <col min="1043" max="1280" width="11.28515625" style="236"/>
    <col min="1281" max="1281" width="31.42578125" style="236" customWidth="1"/>
    <col min="1282" max="1282" width="1.42578125" style="236" customWidth="1"/>
    <col min="1283" max="1283" width="7.7109375" style="236" bestFit="1" customWidth="1"/>
    <col min="1284" max="1284" width="1.42578125" style="236" customWidth="1"/>
    <col min="1285" max="1285" width="18" style="236" bestFit="1" customWidth="1"/>
    <col min="1286" max="1286" width="1.42578125" style="236" customWidth="1"/>
    <col min="1287" max="1287" width="17.28515625" style="236" bestFit="1" customWidth="1"/>
    <col min="1288" max="1288" width="1.42578125" style="236" customWidth="1"/>
    <col min="1289" max="1289" width="18" style="236" bestFit="1" customWidth="1"/>
    <col min="1290" max="1290" width="1.42578125" style="236" customWidth="1"/>
    <col min="1291" max="1291" width="17.28515625" style="236" bestFit="1" customWidth="1"/>
    <col min="1292" max="1292" width="1.42578125" style="236" customWidth="1"/>
    <col min="1293" max="1293" width="16.28515625" style="236" bestFit="1" customWidth="1"/>
    <col min="1294" max="1294" width="1.42578125" style="236" customWidth="1"/>
    <col min="1295" max="1295" width="17" style="236" bestFit="1" customWidth="1"/>
    <col min="1296" max="1296" width="1.42578125" style="236" customWidth="1"/>
    <col min="1297" max="1297" width="8.85546875" style="236" bestFit="1" customWidth="1"/>
    <col min="1298" max="1298" width="8.7109375" style="236" bestFit="1" customWidth="1"/>
    <col min="1299" max="1536" width="11.28515625" style="236"/>
    <col min="1537" max="1537" width="31.42578125" style="236" customWidth="1"/>
    <col min="1538" max="1538" width="1.42578125" style="236" customWidth="1"/>
    <col min="1539" max="1539" width="7.7109375" style="236" bestFit="1" customWidth="1"/>
    <col min="1540" max="1540" width="1.42578125" style="236" customWidth="1"/>
    <col min="1541" max="1541" width="18" style="236" bestFit="1" customWidth="1"/>
    <col min="1542" max="1542" width="1.42578125" style="236" customWidth="1"/>
    <col min="1543" max="1543" width="17.28515625" style="236" bestFit="1" customWidth="1"/>
    <col min="1544" max="1544" width="1.42578125" style="236" customWidth="1"/>
    <col min="1545" max="1545" width="18" style="236" bestFit="1" customWidth="1"/>
    <col min="1546" max="1546" width="1.42578125" style="236" customWidth="1"/>
    <col min="1547" max="1547" width="17.28515625" style="236" bestFit="1" customWidth="1"/>
    <col min="1548" max="1548" width="1.42578125" style="236" customWidth="1"/>
    <col min="1549" max="1549" width="16.28515625" style="236" bestFit="1" customWidth="1"/>
    <col min="1550" max="1550" width="1.42578125" style="236" customWidth="1"/>
    <col min="1551" max="1551" width="17" style="236" bestFit="1" customWidth="1"/>
    <col min="1552" max="1552" width="1.42578125" style="236" customWidth="1"/>
    <col min="1553" max="1553" width="8.85546875" style="236" bestFit="1" customWidth="1"/>
    <col min="1554" max="1554" width="8.7109375" style="236" bestFit="1" customWidth="1"/>
    <col min="1555" max="1792" width="11.28515625" style="236"/>
    <col min="1793" max="1793" width="31.42578125" style="236" customWidth="1"/>
    <col min="1794" max="1794" width="1.42578125" style="236" customWidth="1"/>
    <col min="1795" max="1795" width="7.7109375" style="236" bestFit="1" customWidth="1"/>
    <col min="1796" max="1796" width="1.42578125" style="236" customWidth="1"/>
    <col min="1797" max="1797" width="18" style="236" bestFit="1" customWidth="1"/>
    <col min="1798" max="1798" width="1.42578125" style="236" customWidth="1"/>
    <col min="1799" max="1799" width="17.28515625" style="236" bestFit="1" customWidth="1"/>
    <col min="1800" max="1800" width="1.42578125" style="236" customWidth="1"/>
    <col min="1801" max="1801" width="18" style="236" bestFit="1" customWidth="1"/>
    <col min="1802" max="1802" width="1.42578125" style="236" customWidth="1"/>
    <col min="1803" max="1803" width="17.28515625" style="236" bestFit="1" customWidth="1"/>
    <col min="1804" max="1804" width="1.42578125" style="236" customWidth="1"/>
    <col min="1805" max="1805" width="16.28515625" style="236" bestFit="1" customWidth="1"/>
    <col min="1806" max="1806" width="1.42578125" style="236" customWidth="1"/>
    <col min="1807" max="1807" width="17" style="236" bestFit="1" customWidth="1"/>
    <col min="1808" max="1808" width="1.42578125" style="236" customWidth="1"/>
    <col min="1809" max="1809" width="8.85546875" style="236" bestFit="1" customWidth="1"/>
    <col min="1810" max="1810" width="8.7109375" style="236" bestFit="1" customWidth="1"/>
    <col min="1811" max="2048" width="11.28515625" style="236"/>
    <col min="2049" max="2049" width="31.42578125" style="236" customWidth="1"/>
    <col min="2050" max="2050" width="1.42578125" style="236" customWidth="1"/>
    <col min="2051" max="2051" width="7.7109375" style="236" bestFit="1" customWidth="1"/>
    <col min="2052" max="2052" width="1.42578125" style="236" customWidth="1"/>
    <col min="2053" max="2053" width="18" style="236" bestFit="1" customWidth="1"/>
    <col min="2054" max="2054" width="1.42578125" style="236" customWidth="1"/>
    <col min="2055" max="2055" width="17.28515625" style="236" bestFit="1" customWidth="1"/>
    <col min="2056" max="2056" width="1.42578125" style="236" customWidth="1"/>
    <col min="2057" max="2057" width="18" style="236" bestFit="1" customWidth="1"/>
    <col min="2058" max="2058" width="1.42578125" style="236" customWidth="1"/>
    <col min="2059" max="2059" width="17.28515625" style="236" bestFit="1" customWidth="1"/>
    <col min="2060" max="2060" width="1.42578125" style="236" customWidth="1"/>
    <col min="2061" max="2061" width="16.28515625" style="236" bestFit="1" customWidth="1"/>
    <col min="2062" max="2062" width="1.42578125" style="236" customWidth="1"/>
    <col min="2063" max="2063" width="17" style="236" bestFit="1" customWidth="1"/>
    <col min="2064" max="2064" width="1.42578125" style="236" customWidth="1"/>
    <col min="2065" max="2065" width="8.85546875" style="236" bestFit="1" customWidth="1"/>
    <col min="2066" max="2066" width="8.7109375" style="236" bestFit="1" customWidth="1"/>
    <col min="2067" max="2304" width="11.28515625" style="236"/>
    <col min="2305" max="2305" width="31.42578125" style="236" customWidth="1"/>
    <col min="2306" max="2306" width="1.42578125" style="236" customWidth="1"/>
    <col min="2307" max="2307" width="7.7109375" style="236" bestFit="1" customWidth="1"/>
    <col min="2308" max="2308" width="1.42578125" style="236" customWidth="1"/>
    <col min="2309" max="2309" width="18" style="236" bestFit="1" customWidth="1"/>
    <col min="2310" max="2310" width="1.42578125" style="236" customWidth="1"/>
    <col min="2311" max="2311" width="17.28515625" style="236" bestFit="1" customWidth="1"/>
    <col min="2312" max="2312" width="1.42578125" style="236" customWidth="1"/>
    <col min="2313" max="2313" width="18" style="236" bestFit="1" customWidth="1"/>
    <col min="2314" max="2314" width="1.42578125" style="236" customWidth="1"/>
    <col min="2315" max="2315" width="17.28515625" style="236" bestFit="1" customWidth="1"/>
    <col min="2316" max="2316" width="1.42578125" style="236" customWidth="1"/>
    <col min="2317" max="2317" width="16.28515625" style="236" bestFit="1" customWidth="1"/>
    <col min="2318" max="2318" width="1.42578125" style="236" customWidth="1"/>
    <col min="2319" max="2319" width="17" style="236" bestFit="1" customWidth="1"/>
    <col min="2320" max="2320" width="1.42578125" style="236" customWidth="1"/>
    <col min="2321" max="2321" width="8.85546875" style="236" bestFit="1" customWidth="1"/>
    <col min="2322" max="2322" width="8.7109375" style="236" bestFit="1" customWidth="1"/>
    <col min="2323" max="2560" width="11.28515625" style="236"/>
    <col min="2561" max="2561" width="31.42578125" style="236" customWidth="1"/>
    <col min="2562" max="2562" width="1.42578125" style="236" customWidth="1"/>
    <col min="2563" max="2563" width="7.7109375" style="236" bestFit="1" customWidth="1"/>
    <col min="2564" max="2564" width="1.42578125" style="236" customWidth="1"/>
    <col min="2565" max="2565" width="18" style="236" bestFit="1" customWidth="1"/>
    <col min="2566" max="2566" width="1.42578125" style="236" customWidth="1"/>
    <col min="2567" max="2567" width="17.28515625" style="236" bestFit="1" customWidth="1"/>
    <col min="2568" max="2568" width="1.42578125" style="236" customWidth="1"/>
    <col min="2569" max="2569" width="18" style="236" bestFit="1" customWidth="1"/>
    <col min="2570" max="2570" width="1.42578125" style="236" customWidth="1"/>
    <col min="2571" max="2571" width="17.28515625" style="236" bestFit="1" customWidth="1"/>
    <col min="2572" max="2572" width="1.42578125" style="236" customWidth="1"/>
    <col min="2573" max="2573" width="16.28515625" style="236" bestFit="1" customWidth="1"/>
    <col min="2574" max="2574" width="1.42578125" style="236" customWidth="1"/>
    <col min="2575" max="2575" width="17" style="236" bestFit="1" customWidth="1"/>
    <col min="2576" max="2576" width="1.42578125" style="236" customWidth="1"/>
    <col min="2577" max="2577" width="8.85546875" style="236" bestFit="1" customWidth="1"/>
    <col min="2578" max="2578" width="8.7109375" style="236" bestFit="1" customWidth="1"/>
    <col min="2579" max="2816" width="11.28515625" style="236"/>
    <col min="2817" max="2817" width="31.42578125" style="236" customWidth="1"/>
    <col min="2818" max="2818" width="1.42578125" style="236" customWidth="1"/>
    <col min="2819" max="2819" width="7.7109375" style="236" bestFit="1" customWidth="1"/>
    <col min="2820" max="2820" width="1.42578125" style="236" customWidth="1"/>
    <col min="2821" max="2821" width="18" style="236" bestFit="1" customWidth="1"/>
    <col min="2822" max="2822" width="1.42578125" style="236" customWidth="1"/>
    <col min="2823" max="2823" width="17.28515625" style="236" bestFit="1" customWidth="1"/>
    <col min="2824" max="2824" width="1.42578125" style="236" customWidth="1"/>
    <col min="2825" max="2825" width="18" style="236" bestFit="1" customWidth="1"/>
    <col min="2826" max="2826" width="1.42578125" style="236" customWidth="1"/>
    <col min="2827" max="2827" width="17.28515625" style="236" bestFit="1" customWidth="1"/>
    <col min="2828" max="2828" width="1.42578125" style="236" customWidth="1"/>
    <col min="2829" max="2829" width="16.28515625" style="236" bestFit="1" customWidth="1"/>
    <col min="2830" max="2830" width="1.42578125" style="236" customWidth="1"/>
    <col min="2831" max="2831" width="17" style="236" bestFit="1" customWidth="1"/>
    <col min="2832" max="2832" width="1.42578125" style="236" customWidth="1"/>
    <col min="2833" max="2833" width="8.85546875" style="236" bestFit="1" customWidth="1"/>
    <col min="2834" max="2834" width="8.7109375" style="236" bestFit="1" customWidth="1"/>
    <col min="2835" max="3072" width="11.28515625" style="236"/>
    <col min="3073" max="3073" width="31.42578125" style="236" customWidth="1"/>
    <col min="3074" max="3074" width="1.42578125" style="236" customWidth="1"/>
    <col min="3075" max="3075" width="7.7109375" style="236" bestFit="1" customWidth="1"/>
    <col min="3076" max="3076" width="1.42578125" style="236" customWidth="1"/>
    <col min="3077" max="3077" width="18" style="236" bestFit="1" customWidth="1"/>
    <col min="3078" max="3078" width="1.42578125" style="236" customWidth="1"/>
    <col min="3079" max="3079" width="17.28515625" style="236" bestFit="1" customWidth="1"/>
    <col min="3080" max="3080" width="1.42578125" style="236" customWidth="1"/>
    <col min="3081" max="3081" width="18" style="236" bestFit="1" customWidth="1"/>
    <col min="3082" max="3082" width="1.42578125" style="236" customWidth="1"/>
    <col min="3083" max="3083" width="17.28515625" style="236" bestFit="1" customWidth="1"/>
    <col min="3084" max="3084" width="1.42578125" style="236" customWidth="1"/>
    <col min="3085" max="3085" width="16.28515625" style="236" bestFit="1" customWidth="1"/>
    <col min="3086" max="3086" width="1.42578125" style="236" customWidth="1"/>
    <col min="3087" max="3087" width="17" style="236" bestFit="1" customWidth="1"/>
    <col min="3088" max="3088" width="1.42578125" style="236" customWidth="1"/>
    <col min="3089" max="3089" width="8.85546875" style="236" bestFit="1" customWidth="1"/>
    <col min="3090" max="3090" width="8.7109375" style="236" bestFit="1" customWidth="1"/>
    <col min="3091" max="3328" width="11.28515625" style="236"/>
    <col min="3329" max="3329" width="31.42578125" style="236" customWidth="1"/>
    <col min="3330" max="3330" width="1.42578125" style="236" customWidth="1"/>
    <col min="3331" max="3331" width="7.7109375" style="236" bestFit="1" customWidth="1"/>
    <col min="3332" max="3332" width="1.42578125" style="236" customWidth="1"/>
    <col min="3333" max="3333" width="18" style="236" bestFit="1" customWidth="1"/>
    <col min="3334" max="3334" width="1.42578125" style="236" customWidth="1"/>
    <col min="3335" max="3335" width="17.28515625" style="236" bestFit="1" customWidth="1"/>
    <col min="3336" max="3336" width="1.42578125" style="236" customWidth="1"/>
    <col min="3337" max="3337" width="18" style="236" bestFit="1" customWidth="1"/>
    <col min="3338" max="3338" width="1.42578125" style="236" customWidth="1"/>
    <col min="3339" max="3339" width="17.28515625" style="236" bestFit="1" customWidth="1"/>
    <col min="3340" max="3340" width="1.42578125" style="236" customWidth="1"/>
    <col min="3341" max="3341" width="16.28515625" style="236" bestFit="1" customWidth="1"/>
    <col min="3342" max="3342" width="1.42578125" style="236" customWidth="1"/>
    <col min="3343" max="3343" width="17" style="236" bestFit="1" customWidth="1"/>
    <col min="3344" max="3344" width="1.42578125" style="236" customWidth="1"/>
    <col min="3345" max="3345" width="8.85546875" style="236" bestFit="1" customWidth="1"/>
    <col min="3346" max="3346" width="8.7109375" style="236" bestFit="1" customWidth="1"/>
    <col min="3347" max="3584" width="11.28515625" style="236"/>
    <col min="3585" max="3585" width="31.42578125" style="236" customWidth="1"/>
    <col min="3586" max="3586" width="1.42578125" style="236" customWidth="1"/>
    <col min="3587" max="3587" width="7.7109375" style="236" bestFit="1" customWidth="1"/>
    <col min="3588" max="3588" width="1.42578125" style="236" customWidth="1"/>
    <col min="3589" max="3589" width="18" style="236" bestFit="1" customWidth="1"/>
    <col min="3590" max="3590" width="1.42578125" style="236" customWidth="1"/>
    <col min="3591" max="3591" width="17.28515625" style="236" bestFit="1" customWidth="1"/>
    <col min="3592" max="3592" width="1.42578125" style="236" customWidth="1"/>
    <col min="3593" max="3593" width="18" style="236" bestFit="1" customWidth="1"/>
    <col min="3594" max="3594" width="1.42578125" style="236" customWidth="1"/>
    <col min="3595" max="3595" width="17.28515625" style="236" bestFit="1" customWidth="1"/>
    <col min="3596" max="3596" width="1.42578125" style="236" customWidth="1"/>
    <col min="3597" max="3597" width="16.28515625" style="236" bestFit="1" customWidth="1"/>
    <col min="3598" max="3598" width="1.42578125" style="236" customWidth="1"/>
    <col min="3599" max="3599" width="17" style="236" bestFit="1" customWidth="1"/>
    <col min="3600" max="3600" width="1.42578125" style="236" customWidth="1"/>
    <col min="3601" max="3601" width="8.85546875" style="236" bestFit="1" customWidth="1"/>
    <col min="3602" max="3602" width="8.7109375" style="236" bestFit="1" customWidth="1"/>
    <col min="3603" max="3840" width="11.28515625" style="236"/>
    <col min="3841" max="3841" width="31.42578125" style="236" customWidth="1"/>
    <col min="3842" max="3842" width="1.42578125" style="236" customWidth="1"/>
    <col min="3843" max="3843" width="7.7109375" style="236" bestFit="1" customWidth="1"/>
    <col min="3844" max="3844" width="1.42578125" style="236" customWidth="1"/>
    <col min="3845" max="3845" width="18" style="236" bestFit="1" customWidth="1"/>
    <col min="3846" max="3846" width="1.42578125" style="236" customWidth="1"/>
    <col min="3847" max="3847" width="17.28515625" style="236" bestFit="1" customWidth="1"/>
    <col min="3848" max="3848" width="1.42578125" style="236" customWidth="1"/>
    <col min="3849" max="3849" width="18" style="236" bestFit="1" customWidth="1"/>
    <col min="3850" max="3850" width="1.42578125" style="236" customWidth="1"/>
    <col min="3851" max="3851" width="17.28515625" style="236" bestFit="1" customWidth="1"/>
    <col min="3852" max="3852" width="1.42578125" style="236" customWidth="1"/>
    <col min="3853" max="3853" width="16.28515625" style="236" bestFit="1" customWidth="1"/>
    <col min="3854" max="3854" width="1.42578125" style="236" customWidth="1"/>
    <col min="3855" max="3855" width="17" style="236" bestFit="1" customWidth="1"/>
    <col min="3856" max="3856" width="1.42578125" style="236" customWidth="1"/>
    <col min="3857" max="3857" width="8.85546875" style="236" bestFit="1" customWidth="1"/>
    <col min="3858" max="3858" width="8.7109375" style="236" bestFit="1" customWidth="1"/>
    <col min="3859" max="4096" width="11.28515625" style="236"/>
    <col min="4097" max="4097" width="31.42578125" style="236" customWidth="1"/>
    <col min="4098" max="4098" width="1.42578125" style="236" customWidth="1"/>
    <col min="4099" max="4099" width="7.7109375" style="236" bestFit="1" customWidth="1"/>
    <col min="4100" max="4100" width="1.42578125" style="236" customWidth="1"/>
    <col min="4101" max="4101" width="18" style="236" bestFit="1" customWidth="1"/>
    <col min="4102" max="4102" width="1.42578125" style="236" customWidth="1"/>
    <col min="4103" max="4103" width="17.28515625" style="236" bestFit="1" customWidth="1"/>
    <col min="4104" max="4104" width="1.42578125" style="236" customWidth="1"/>
    <col min="4105" max="4105" width="18" style="236" bestFit="1" customWidth="1"/>
    <col min="4106" max="4106" width="1.42578125" style="236" customWidth="1"/>
    <col min="4107" max="4107" width="17.28515625" style="236" bestFit="1" customWidth="1"/>
    <col min="4108" max="4108" width="1.42578125" style="236" customWidth="1"/>
    <col min="4109" max="4109" width="16.28515625" style="236" bestFit="1" customWidth="1"/>
    <col min="4110" max="4110" width="1.42578125" style="236" customWidth="1"/>
    <col min="4111" max="4111" width="17" style="236" bestFit="1" customWidth="1"/>
    <col min="4112" max="4112" width="1.42578125" style="236" customWidth="1"/>
    <col min="4113" max="4113" width="8.85546875" style="236" bestFit="1" customWidth="1"/>
    <col min="4114" max="4114" width="8.7109375" style="236" bestFit="1" customWidth="1"/>
    <col min="4115" max="4352" width="11.28515625" style="236"/>
    <col min="4353" max="4353" width="31.42578125" style="236" customWidth="1"/>
    <col min="4354" max="4354" width="1.42578125" style="236" customWidth="1"/>
    <col min="4355" max="4355" width="7.7109375" style="236" bestFit="1" customWidth="1"/>
    <col min="4356" max="4356" width="1.42578125" style="236" customWidth="1"/>
    <col min="4357" max="4357" width="18" style="236" bestFit="1" customWidth="1"/>
    <col min="4358" max="4358" width="1.42578125" style="236" customWidth="1"/>
    <col min="4359" max="4359" width="17.28515625" style="236" bestFit="1" customWidth="1"/>
    <col min="4360" max="4360" width="1.42578125" style="236" customWidth="1"/>
    <col min="4361" max="4361" width="18" style="236" bestFit="1" customWidth="1"/>
    <col min="4362" max="4362" width="1.42578125" style="236" customWidth="1"/>
    <col min="4363" max="4363" width="17.28515625" style="236" bestFit="1" customWidth="1"/>
    <col min="4364" max="4364" width="1.42578125" style="236" customWidth="1"/>
    <col min="4365" max="4365" width="16.28515625" style="236" bestFit="1" customWidth="1"/>
    <col min="4366" max="4366" width="1.42578125" style="236" customWidth="1"/>
    <col min="4367" max="4367" width="17" style="236" bestFit="1" customWidth="1"/>
    <col min="4368" max="4368" width="1.42578125" style="236" customWidth="1"/>
    <col min="4369" max="4369" width="8.85546875" style="236" bestFit="1" customWidth="1"/>
    <col min="4370" max="4370" width="8.7109375" style="236" bestFit="1" customWidth="1"/>
    <col min="4371" max="4608" width="11.28515625" style="236"/>
    <col min="4609" max="4609" width="31.42578125" style="236" customWidth="1"/>
    <col min="4610" max="4610" width="1.42578125" style="236" customWidth="1"/>
    <col min="4611" max="4611" width="7.7109375" style="236" bestFit="1" customWidth="1"/>
    <col min="4612" max="4612" width="1.42578125" style="236" customWidth="1"/>
    <col min="4613" max="4613" width="18" style="236" bestFit="1" customWidth="1"/>
    <col min="4614" max="4614" width="1.42578125" style="236" customWidth="1"/>
    <col min="4615" max="4615" width="17.28515625" style="236" bestFit="1" customWidth="1"/>
    <col min="4616" max="4616" width="1.42578125" style="236" customWidth="1"/>
    <col min="4617" max="4617" width="18" style="236" bestFit="1" customWidth="1"/>
    <col min="4618" max="4618" width="1.42578125" style="236" customWidth="1"/>
    <col min="4619" max="4619" width="17.28515625" style="236" bestFit="1" customWidth="1"/>
    <col min="4620" max="4620" width="1.42578125" style="236" customWidth="1"/>
    <col min="4621" max="4621" width="16.28515625" style="236" bestFit="1" customWidth="1"/>
    <col min="4622" max="4622" width="1.42578125" style="236" customWidth="1"/>
    <col min="4623" max="4623" width="17" style="236" bestFit="1" customWidth="1"/>
    <col min="4624" max="4624" width="1.42578125" style="236" customWidth="1"/>
    <col min="4625" max="4625" width="8.85546875" style="236" bestFit="1" customWidth="1"/>
    <col min="4626" max="4626" width="8.7109375" style="236" bestFit="1" customWidth="1"/>
    <col min="4627" max="4864" width="11.28515625" style="236"/>
    <col min="4865" max="4865" width="31.42578125" style="236" customWidth="1"/>
    <col min="4866" max="4866" width="1.42578125" style="236" customWidth="1"/>
    <col min="4867" max="4867" width="7.7109375" style="236" bestFit="1" customWidth="1"/>
    <col min="4868" max="4868" width="1.42578125" style="236" customWidth="1"/>
    <col min="4869" max="4869" width="18" style="236" bestFit="1" customWidth="1"/>
    <col min="4870" max="4870" width="1.42578125" style="236" customWidth="1"/>
    <col min="4871" max="4871" width="17.28515625" style="236" bestFit="1" customWidth="1"/>
    <col min="4872" max="4872" width="1.42578125" style="236" customWidth="1"/>
    <col min="4873" max="4873" width="18" style="236" bestFit="1" customWidth="1"/>
    <col min="4874" max="4874" width="1.42578125" style="236" customWidth="1"/>
    <col min="4875" max="4875" width="17.28515625" style="236" bestFit="1" customWidth="1"/>
    <col min="4876" max="4876" width="1.42578125" style="236" customWidth="1"/>
    <col min="4877" max="4877" width="16.28515625" style="236" bestFit="1" customWidth="1"/>
    <col min="4878" max="4878" width="1.42578125" style="236" customWidth="1"/>
    <col min="4879" max="4879" width="17" style="236" bestFit="1" customWidth="1"/>
    <col min="4880" max="4880" width="1.42578125" style="236" customWidth="1"/>
    <col min="4881" max="4881" width="8.85546875" style="236" bestFit="1" customWidth="1"/>
    <col min="4882" max="4882" width="8.7109375" style="236" bestFit="1" customWidth="1"/>
    <col min="4883" max="5120" width="11.28515625" style="236"/>
    <col min="5121" max="5121" width="31.42578125" style="236" customWidth="1"/>
    <col min="5122" max="5122" width="1.42578125" style="236" customWidth="1"/>
    <col min="5123" max="5123" width="7.7109375" style="236" bestFit="1" customWidth="1"/>
    <col min="5124" max="5124" width="1.42578125" style="236" customWidth="1"/>
    <col min="5125" max="5125" width="18" style="236" bestFit="1" customWidth="1"/>
    <col min="5126" max="5126" width="1.42578125" style="236" customWidth="1"/>
    <col min="5127" max="5127" width="17.28515625" style="236" bestFit="1" customWidth="1"/>
    <col min="5128" max="5128" width="1.42578125" style="236" customWidth="1"/>
    <col min="5129" max="5129" width="18" style="236" bestFit="1" customWidth="1"/>
    <col min="5130" max="5130" width="1.42578125" style="236" customWidth="1"/>
    <col min="5131" max="5131" width="17.28515625" style="236" bestFit="1" customWidth="1"/>
    <col min="5132" max="5132" width="1.42578125" style="236" customWidth="1"/>
    <col min="5133" max="5133" width="16.28515625" style="236" bestFit="1" customWidth="1"/>
    <col min="5134" max="5134" width="1.42578125" style="236" customWidth="1"/>
    <col min="5135" max="5135" width="17" style="236" bestFit="1" customWidth="1"/>
    <col min="5136" max="5136" width="1.42578125" style="236" customWidth="1"/>
    <col min="5137" max="5137" width="8.85546875" style="236" bestFit="1" customWidth="1"/>
    <col min="5138" max="5138" width="8.7109375" style="236" bestFit="1" customWidth="1"/>
    <col min="5139" max="5376" width="11.28515625" style="236"/>
    <col min="5377" max="5377" width="31.42578125" style="236" customWidth="1"/>
    <col min="5378" max="5378" width="1.42578125" style="236" customWidth="1"/>
    <col min="5379" max="5379" width="7.7109375" style="236" bestFit="1" customWidth="1"/>
    <col min="5380" max="5380" width="1.42578125" style="236" customWidth="1"/>
    <col min="5381" max="5381" width="18" style="236" bestFit="1" customWidth="1"/>
    <col min="5382" max="5382" width="1.42578125" style="236" customWidth="1"/>
    <col min="5383" max="5383" width="17.28515625" style="236" bestFit="1" customWidth="1"/>
    <col min="5384" max="5384" width="1.42578125" style="236" customWidth="1"/>
    <col min="5385" max="5385" width="18" style="236" bestFit="1" customWidth="1"/>
    <col min="5386" max="5386" width="1.42578125" style="236" customWidth="1"/>
    <col min="5387" max="5387" width="17.28515625" style="236" bestFit="1" customWidth="1"/>
    <col min="5388" max="5388" width="1.42578125" style="236" customWidth="1"/>
    <col min="5389" max="5389" width="16.28515625" style="236" bestFit="1" customWidth="1"/>
    <col min="5390" max="5390" width="1.42578125" style="236" customWidth="1"/>
    <col min="5391" max="5391" width="17" style="236" bestFit="1" customWidth="1"/>
    <col min="5392" max="5392" width="1.42578125" style="236" customWidth="1"/>
    <col min="5393" max="5393" width="8.85546875" style="236" bestFit="1" customWidth="1"/>
    <col min="5394" max="5394" width="8.7109375" style="236" bestFit="1" customWidth="1"/>
    <col min="5395" max="5632" width="11.28515625" style="236"/>
    <col min="5633" max="5633" width="31.42578125" style="236" customWidth="1"/>
    <col min="5634" max="5634" width="1.42578125" style="236" customWidth="1"/>
    <col min="5635" max="5635" width="7.7109375" style="236" bestFit="1" customWidth="1"/>
    <col min="5636" max="5636" width="1.42578125" style="236" customWidth="1"/>
    <col min="5637" max="5637" width="18" style="236" bestFit="1" customWidth="1"/>
    <col min="5638" max="5638" width="1.42578125" style="236" customWidth="1"/>
    <col min="5639" max="5639" width="17.28515625" style="236" bestFit="1" customWidth="1"/>
    <col min="5640" max="5640" width="1.42578125" style="236" customWidth="1"/>
    <col min="5641" max="5641" width="18" style="236" bestFit="1" customWidth="1"/>
    <col min="5642" max="5642" width="1.42578125" style="236" customWidth="1"/>
    <col min="5643" max="5643" width="17.28515625" style="236" bestFit="1" customWidth="1"/>
    <col min="5644" max="5644" width="1.42578125" style="236" customWidth="1"/>
    <col min="5645" max="5645" width="16.28515625" style="236" bestFit="1" customWidth="1"/>
    <col min="5646" max="5646" width="1.42578125" style="236" customWidth="1"/>
    <col min="5647" max="5647" width="17" style="236" bestFit="1" customWidth="1"/>
    <col min="5648" max="5648" width="1.42578125" style="236" customWidth="1"/>
    <col min="5649" max="5649" width="8.85546875" style="236" bestFit="1" customWidth="1"/>
    <col min="5650" max="5650" width="8.7109375" style="236" bestFit="1" customWidth="1"/>
    <col min="5651" max="5888" width="11.28515625" style="236"/>
    <col min="5889" max="5889" width="31.42578125" style="236" customWidth="1"/>
    <col min="5890" max="5890" width="1.42578125" style="236" customWidth="1"/>
    <col min="5891" max="5891" width="7.7109375" style="236" bestFit="1" customWidth="1"/>
    <col min="5892" max="5892" width="1.42578125" style="236" customWidth="1"/>
    <col min="5893" max="5893" width="18" style="236" bestFit="1" customWidth="1"/>
    <col min="5894" max="5894" width="1.42578125" style="236" customWidth="1"/>
    <col min="5895" max="5895" width="17.28515625" style="236" bestFit="1" customWidth="1"/>
    <col min="5896" max="5896" width="1.42578125" style="236" customWidth="1"/>
    <col min="5897" max="5897" width="18" style="236" bestFit="1" customWidth="1"/>
    <col min="5898" max="5898" width="1.42578125" style="236" customWidth="1"/>
    <col min="5899" max="5899" width="17.28515625" style="236" bestFit="1" customWidth="1"/>
    <col min="5900" max="5900" width="1.42578125" style="236" customWidth="1"/>
    <col min="5901" max="5901" width="16.28515625" style="236" bestFit="1" customWidth="1"/>
    <col min="5902" max="5902" width="1.42578125" style="236" customWidth="1"/>
    <col min="5903" max="5903" width="17" style="236" bestFit="1" customWidth="1"/>
    <col min="5904" max="5904" width="1.42578125" style="236" customWidth="1"/>
    <col min="5905" max="5905" width="8.85546875" style="236" bestFit="1" customWidth="1"/>
    <col min="5906" max="5906" width="8.7109375" style="236" bestFit="1" customWidth="1"/>
    <col min="5907" max="6144" width="11.28515625" style="236"/>
    <col min="6145" max="6145" width="31.42578125" style="236" customWidth="1"/>
    <col min="6146" max="6146" width="1.42578125" style="236" customWidth="1"/>
    <col min="6147" max="6147" width="7.7109375" style="236" bestFit="1" customWidth="1"/>
    <col min="6148" max="6148" width="1.42578125" style="236" customWidth="1"/>
    <col min="6149" max="6149" width="18" style="236" bestFit="1" customWidth="1"/>
    <col min="6150" max="6150" width="1.42578125" style="236" customWidth="1"/>
    <col min="6151" max="6151" width="17.28515625" style="236" bestFit="1" customWidth="1"/>
    <col min="6152" max="6152" width="1.42578125" style="236" customWidth="1"/>
    <col min="6153" max="6153" width="18" style="236" bestFit="1" customWidth="1"/>
    <col min="6154" max="6154" width="1.42578125" style="236" customWidth="1"/>
    <col min="6155" max="6155" width="17.28515625" style="236" bestFit="1" customWidth="1"/>
    <col min="6156" max="6156" width="1.42578125" style="236" customWidth="1"/>
    <col min="6157" max="6157" width="16.28515625" style="236" bestFit="1" customWidth="1"/>
    <col min="6158" max="6158" width="1.42578125" style="236" customWidth="1"/>
    <col min="6159" max="6159" width="17" style="236" bestFit="1" customWidth="1"/>
    <col min="6160" max="6160" width="1.42578125" style="236" customWidth="1"/>
    <col min="6161" max="6161" width="8.85546875" style="236" bestFit="1" customWidth="1"/>
    <col min="6162" max="6162" width="8.7109375" style="236" bestFit="1" customWidth="1"/>
    <col min="6163" max="6400" width="11.28515625" style="236"/>
    <col min="6401" max="6401" width="31.42578125" style="236" customWidth="1"/>
    <col min="6402" max="6402" width="1.42578125" style="236" customWidth="1"/>
    <col min="6403" max="6403" width="7.7109375" style="236" bestFit="1" customWidth="1"/>
    <col min="6404" max="6404" width="1.42578125" style="236" customWidth="1"/>
    <col min="6405" max="6405" width="18" style="236" bestFit="1" customWidth="1"/>
    <col min="6406" max="6406" width="1.42578125" style="236" customWidth="1"/>
    <col min="6407" max="6407" width="17.28515625" style="236" bestFit="1" customWidth="1"/>
    <col min="6408" max="6408" width="1.42578125" style="236" customWidth="1"/>
    <col min="6409" max="6409" width="18" style="236" bestFit="1" customWidth="1"/>
    <col min="6410" max="6410" width="1.42578125" style="236" customWidth="1"/>
    <col min="6411" max="6411" width="17.28515625" style="236" bestFit="1" customWidth="1"/>
    <col min="6412" max="6412" width="1.42578125" style="236" customWidth="1"/>
    <col min="6413" max="6413" width="16.28515625" style="236" bestFit="1" customWidth="1"/>
    <col min="6414" max="6414" width="1.42578125" style="236" customWidth="1"/>
    <col min="6415" max="6415" width="17" style="236" bestFit="1" customWidth="1"/>
    <col min="6416" max="6416" width="1.42578125" style="236" customWidth="1"/>
    <col min="6417" max="6417" width="8.85546875" style="236" bestFit="1" customWidth="1"/>
    <col min="6418" max="6418" width="8.7109375" style="236" bestFit="1" customWidth="1"/>
    <col min="6419" max="6656" width="11.28515625" style="236"/>
    <col min="6657" max="6657" width="31.42578125" style="236" customWidth="1"/>
    <col min="6658" max="6658" width="1.42578125" style="236" customWidth="1"/>
    <col min="6659" max="6659" width="7.7109375" style="236" bestFit="1" customWidth="1"/>
    <col min="6660" max="6660" width="1.42578125" style="236" customWidth="1"/>
    <col min="6661" max="6661" width="18" style="236" bestFit="1" customWidth="1"/>
    <col min="6662" max="6662" width="1.42578125" style="236" customWidth="1"/>
    <col min="6663" max="6663" width="17.28515625" style="236" bestFit="1" customWidth="1"/>
    <col min="6664" max="6664" width="1.42578125" style="236" customWidth="1"/>
    <col min="6665" max="6665" width="18" style="236" bestFit="1" customWidth="1"/>
    <col min="6666" max="6666" width="1.42578125" style="236" customWidth="1"/>
    <col min="6667" max="6667" width="17.28515625" style="236" bestFit="1" customWidth="1"/>
    <col min="6668" max="6668" width="1.42578125" style="236" customWidth="1"/>
    <col min="6669" max="6669" width="16.28515625" style="236" bestFit="1" customWidth="1"/>
    <col min="6670" max="6670" width="1.42578125" style="236" customWidth="1"/>
    <col min="6671" max="6671" width="17" style="236" bestFit="1" customWidth="1"/>
    <col min="6672" max="6672" width="1.42578125" style="236" customWidth="1"/>
    <col min="6673" max="6673" width="8.85546875" style="236" bestFit="1" customWidth="1"/>
    <col min="6674" max="6674" width="8.7109375" style="236" bestFit="1" customWidth="1"/>
    <col min="6675" max="6912" width="11.28515625" style="236"/>
    <col min="6913" max="6913" width="31.42578125" style="236" customWidth="1"/>
    <col min="6914" max="6914" width="1.42578125" style="236" customWidth="1"/>
    <col min="6915" max="6915" width="7.7109375" style="236" bestFit="1" customWidth="1"/>
    <col min="6916" max="6916" width="1.42578125" style="236" customWidth="1"/>
    <col min="6917" max="6917" width="18" style="236" bestFit="1" customWidth="1"/>
    <col min="6918" max="6918" width="1.42578125" style="236" customWidth="1"/>
    <col min="6919" max="6919" width="17.28515625" style="236" bestFit="1" customWidth="1"/>
    <col min="6920" max="6920" width="1.42578125" style="236" customWidth="1"/>
    <col min="6921" max="6921" width="18" style="236" bestFit="1" customWidth="1"/>
    <col min="6922" max="6922" width="1.42578125" style="236" customWidth="1"/>
    <col min="6923" max="6923" width="17.28515625" style="236" bestFit="1" customWidth="1"/>
    <col min="6924" max="6924" width="1.42578125" style="236" customWidth="1"/>
    <col min="6925" max="6925" width="16.28515625" style="236" bestFit="1" customWidth="1"/>
    <col min="6926" max="6926" width="1.42578125" style="236" customWidth="1"/>
    <col min="6927" max="6927" width="17" style="236" bestFit="1" customWidth="1"/>
    <col min="6928" max="6928" width="1.42578125" style="236" customWidth="1"/>
    <col min="6929" max="6929" width="8.85546875" style="236" bestFit="1" customWidth="1"/>
    <col min="6930" max="6930" width="8.7109375" style="236" bestFit="1" customWidth="1"/>
    <col min="6931" max="7168" width="11.28515625" style="236"/>
    <col min="7169" max="7169" width="31.42578125" style="236" customWidth="1"/>
    <col min="7170" max="7170" width="1.42578125" style="236" customWidth="1"/>
    <col min="7171" max="7171" width="7.7109375" style="236" bestFit="1" customWidth="1"/>
    <col min="7172" max="7172" width="1.42578125" style="236" customWidth="1"/>
    <col min="7173" max="7173" width="18" style="236" bestFit="1" customWidth="1"/>
    <col min="7174" max="7174" width="1.42578125" style="236" customWidth="1"/>
    <col min="7175" max="7175" width="17.28515625" style="236" bestFit="1" customWidth="1"/>
    <col min="7176" max="7176" width="1.42578125" style="236" customWidth="1"/>
    <col min="7177" max="7177" width="18" style="236" bestFit="1" customWidth="1"/>
    <col min="7178" max="7178" width="1.42578125" style="236" customWidth="1"/>
    <col min="7179" max="7179" width="17.28515625" style="236" bestFit="1" customWidth="1"/>
    <col min="7180" max="7180" width="1.42578125" style="236" customWidth="1"/>
    <col min="7181" max="7181" width="16.28515625" style="236" bestFit="1" customWidth="1"/>
    <col min="7182" max="7182" width="1.42578125" style="236" customWidth="1"/>
    <col min="7183" max="7183" width="17" style="236" bestFit="1" customWidth="1"/>
    <col min="7184" max="7184" width="1.42578125" style="236" customWidth="1"/>
    <col min="7185" max="7185" width="8.85546875" style="236" bestFit="1" customWidth="1"/>
    <col min="7186" max="7186" width="8.7109375" style="236" bestFit="1" customWidth="1"/>
    <col min="7187" max="7424" width="11.28515625" style="236"/>
    <col min="7425" max="7425" width="31.42578125" style="236" customWidth="1"/>
    <col min="7426" max="7426" width="1.42578125" style="236" customWidth="1"/>
    <col min="7427" max="7427" width="7.7109375" style="236" bestFit="1" customWidth="1"/>
    <col min="7428" max="7428" width="1.42578125" style="236" customWidth="1"/>
    <col min="7429" max="7429" width="18" style="236" bestFit="1" customWidth="1"/>
    <col min="7430" max="7430" width="1.42578125" style="236" customWidth="1"/>
    <col min="7431" max="7431" width="17.28515625" style="236" bestFit="1" customWidth="1"/>
    <col min="7432" max="7432" width="1.42578125" style="236" customWidth="1"/>
    <col min="7433" max="7433" width="18" style="236" bestFit="1" customWidth="1"/>
    <col min="7434" max="7434" width="1.42578125" style="236" customWidth="1"/>
    <col min="7435" max="7435" width="17.28515625" style="236" bestFit="1" customWidth="1"/>
    <col min="7436" max="7436" width="1.42578125" style="236" customWidth="1"/>
    <col min="7437" max="7437" width="16.28515625" style="236" bestFit="1" customWidth="1"/>
    <col min="7438" max="7438" width="1.42578125" style="236" customWidth="1"/>
    <col min="7439" max="7439" width="17" style="236" bestFit="1" customWidth="1"/>
    <col min="7440" max="7440" width="1.42578125" style="236" customWidth="1"/>
    <col min="7441" max="7441" width="8.85546875" style="236" bestFit="1" customWidth="1"/>
    <col min="7442" max="7442" width="8.7109375" style="236" bestFit="1" customWidth="1"/>
    <col min="7443" max="7680" width="11.28515625" style="236"/>
    <col min="7681" max="7681" width="31.42578125" style="236" customWidth="1"/>
    <col min="7682" max="7682" width="1.42578125" style="236" customWidth="1"/>
    <col min="7683" max="7683" width="7.7109375" style="236" bestFit="1" customWidth="1"/>
    <col min="7684" max="7684" width="1.42578125" style="236" customWidth="1"/>
    <col min="7685" max="7685" width="18" style="236" bestFit="1" customWidth="1"/>
    <col min="7686" max="7686" width="1.42578125" style="236" customWidth="1"/>
    <col min="7687" max="7687" width="17.28515625" style="236" bestFit="1" customWidth="1"/>
    <col min="7688" max="7688" width="1.42578125" style="236" customWidth="1"/>
    <col min="7689" max="7689" width="18" style="236" bestFit="1" customWidth="1"/>
    <col min="7690" max="7690" width="1.42578125" style="236" customWidth="1"/>
    <col min="7691" max="7691" width="17.28515625" style="236" bestFit="1" customWidth="1"/>
    <col min="7692" max="7692" width="1.42578125" style="236" customWidth="1"/>
    <col min="7693" max="7693" width="16.28515625" style="236" bestFit="1" customWidth="1"/>
    <col min="7694" max="7694" width="1.42578125" style="236" customWidth="1"/>
    <col min="7695" max="7695" width="17" style="236" bestFit="1" customWidth="1"/>
    <col min="7696" max="7696" width="1.42578125" style="236" customWidth="1"/>
    <col min="7697" max="7697" width="8.85546875" style="236" bestFit="1" customWidth="1"/>
    <col min="7698" max="7698" width="8.7109375" style="236" bestFit="1" customWidth="1"/>
    <col min="7699" max="7936" width="11.28515625" style="236"/>
    <col min="7937" max="7937" width="31.42578125" style="236" customWidth="1"/>
    <col min="7938" max="7938" width="1.42578125" style="236" customWidth="1"/>
    <col min="7939" max="7939" width="7.7109375" style="236" bestFit="1" customWidth="1"/>
    <col min="7940" max="7940" width="1.42578125" style="236" customWidth="1"/>
    <col min="7941" max="7941" width="18" style="236" bestFit="1" customWidth="1"/>
    <col min="7942" max="7942" width="1.42578125" style="236" customWidth="1"/>
    <col min="7943" max="7943" width="17.28515625" style="236" bestFit="1" customWidth="1"/>
    <col min="7944" max="7944" width="1.42578125" style="236" customWidth="1"/>
    <col min="7945" max="7945" width="18" style="236" bestFit="1" customWidth="1"/>
    <col min="7946" max="7946" width="1.42578125" style="236" customWidth="1"/>
    <col min="7947" max="7947" width="17.28515625" style="236" bestFit="1" customWidth="1"/>
    <col min="7948" max="7948" width="1.42578125" style="236" customWidth="1"/>
    <col min="7949" max="7949" width="16.28515625" style="236" bestFit="1" customWidth="1"/>
    <col min="7950" max="7950" width="1.42578125" style="236" customWidth="1"/>
    <col min="7951" max="7951" width="17" style="236" bestFit="1" customWidth="1"/>
    <col min="7952" max="7952" width="1.42578125" style="236" customWidth="1"/>
    <col min="7953" max="7953" width="8.85546875" style="236" bestFit="1" customWidth="1"/>
    <col min="7954" max="7954" width="8.7109375" style="236" bestFit="1" customWidth="1"/>
    <col min="7955" max="8192" width="11.28515625" style="236"/>
    <col min="8193" max="8193" width="31.42578125" style="236" customWidth="1"/>
    <col min="8194" max="8194" width="1.42578125" style="236" customWidth="1"/>
    <col min="8195" max="8195" width="7.7109375" style="236" bestFit="1" customWidth="1"/>
    <col min="8196" max="8196" width="1.42578125" style="236" customWidth="1"/>
    <col min="8197" max="8197" width="18" style="236" bestFit="1" customWidth="1"/>
    <col min="8198" max="8198" width="1.42578125" style="236" customWidth="1"/>
    <col min="8199" max="8199" width="17.28515625" style="236" bestFit="1" customWidth="1"/>
    <col min="8200" max="8200" width="1.42578125" style="236" customWidth="1"/>
    <col min="8201" max="8201" width="18" style="236" bestFit="1" customWidth="1"/>
    <col min="8202" max="8202" width="1.42578125" style="236" customWidth="1"/>
    <col min="8203" max="8203" width="17.28515625" style="236" bestFit="1" customWidth="1"/>
    <col min="8204" max="8204" width="1.42578125" style="236" customWidth="1"/>
    <col min="8205" max="8205" width="16.28515625" style="236" bestFit="1" customWidth="1"/>
    <col min="8206" max="8206" width="1.42578125" style="236" customWidth="1"/>
    <col min="8207" max="8207" width="17" style="236" bestFit="1" customWidth="1"/>
    <col min="8208" max="8208" width="1.42578125" style="236" customWidth="1"/>
    <col min="8209" max="8209" width="8.85546875" style="236" bestFit="1" customWidth="1"/>
    <col min="8210" max="8210" width="8.7109375" style="236" bestFit="1" customWidth="1"/>
    <col min="8211" max="8448" width="11.28515625" style="236"/>
    <col min="8449" max="8449" width="31.42578125" style="236" customWidth="1"/>
    <col min="8450" max="8450" width="1.42578125" style="236" customWidth="1"/>
    <col min="8451" max="8451" width="7.7109375" style="236" bestFit="1" customWidth="1"/>
    <col min="8452" max="8452" width="1.42578125" style="236" customWidth="1"/>
    <col min="8453" max="8453" width="18" style="236" bestFit="1" customWidth="1"/>
    <col min="8454" max="8454" width="1.42578125" style="236" customWidth="1"/>
    <col min="8455" max="8455" width="17.28515625" style="236" bestFit="1" customWidth="1"/>
    <col min="8456" max="8456" width="1.42578125" style="236" customWidth="1"/>
    <col min="8457" max="8457" width="18" style="236" bestFit="1" customWidth="1"/>
    <col min="8458" max="8458" width="1.42578125" style="236" customWidth="1"/>
    <col min="8459" max="8459" width="17.28515625" style="236" bestFit="1" customWidth="1"/>
    <col min="8460" max="8460" width="1.42578125" style="236" customWidth="1"/>
    <col min="8461" max="8461" width="16.28515625" style="236" bestFit="1" customWidth="1"/>
    <col min="8462" max="8462" width="1.42578125" style="236" customWidth="1"/>
    <col min="8463" max="8463" width="17" style="236" bestFit="1" customWidth="1"/>
    <col min="8464" max="8464" width="1.42578125" style="236" customWidth="1"/>
    <col min="8465" max="8465" width="8.85546875" style="236" bestFit="1" customWidth="1"/>
    <col min="8466" max="8466" width="8.7109375" style="236" bestFit="1" customWidth="1"/>
    <col min="8467" max="8704" width="11.28515625" style="236"/>
    <col min="8705" max="8705" width="31.42578125" style="236" customWidth="1"/>
    <col min="8706" max="8706" width="1.42578125" style="236" customWidth="1"/>
    <col min="8707" max="8707" width="7.7109375" style="236" bestFit="1" customWidth="1"/>
    <col min="8708" max="8708" width="1.42578125" style="236" customWidth="1"/>
    <col min="8709" max="8709" width="18" style="236" bestFit="1" customWidth="1"/>
    <col min="8710" max="8710" width="1.42578125" style="236" customWidth="1"/>
    <col min="8711" max="8711" width="17.28515625" style="236" bestFit="1" customWidth="1"/>
    <col min="8712" max="8712" width="1.42578125" style="236" customWidth="1"/>
    <col min="8713" max="8713" width="18" style="236" bestFit="1" customWidth="1"/>
    <col min="8714" max="8714" width="1.42578125" style="236" customWidth="1"/>
    <col min="8715" max="8715" width="17.28515625" style="236" bestFit="1" customWidth="1"/>
    <col min="8716" max="8716" width="1.42578125" style="236" customWidth="1"/>
    <col min="8717" max="8717" width="16.28515625" style="236" bestFit="1" customWidth="1"/>
    <col min="8718" max="8718" width="1.42578125" style="236" customWidth="1"/>
    <col min="8719" max="8719" width="17" style="236" bestFit="1" customWidth="1"/>
    <col min="8720" max="8720" width="1.42578125" style="236" customWidth="1"/>
    <col min="8721" max="8721" width="8.85546875" style="236" bestFit="1" customWidth="1"/>
    <col min="8722" max="8722" width="8.7109375" style="236" bestFit="1" customWidth="1"/>
    <col min="8723" max="8960" width="11.28515625" style="236"/>
    <col min="8961" max="8961" width="31.42578125" style="236" customWidth="1"/>
    <col min="8962" max="8962" width="1.42578125" style="236" customWidth="1"/>
    <col min="8963" max="8963" width="7.7109375" style="236" bestFit="1" customWidth="1"/>
    <col min="8964" max="8964" width="1.42578125" style="236" customWidth="1"/>
    <col min="8965" max="8965" width="18" style="236" bestFit="1" customWidth="1"/>
    <col min="8966" max="8966" width="1.42578125" style="236" customWidth="1"/>
    <col min="8967" max="8967" width="17.28515625" style="236" bestFit="1" customWidth="1"/>
    <col min="8968" max="8968" width="1.42578125" style="236" customWidth="1"/>
    <col min="8969" max="8969" width="18" style="236" bestFit="1" customWidth="1"/>
    <col min="8970" max="8970" width="1.42578125" style="236" customWidth="1"/>
    <col min="8971" max="8971" width="17.28515625" style="236" bestFit="1" customWidth="1"/>
    <col min="8972" max="8972" width="1.42578125" style="236" customWidth="1"/>
    <col min="8973" max="8973" width="16.28515625" style="236" bestFit="1" customWidth="1"/>
    <col min="8974" max="8974" width="1.42578125" style="236" customWidth="1"/>
    <col min="8975" max="8975" width="17" style="236" bestFit="1" customWidth="1"/>
    <col min="8976" max="8976" width="1.42578125" style="236" customWidth="1"/>
    <col min="8977" max="8977" width="8.85546875" style="236" bestFit="1" customWidth="1"/>
    <col min="8978" max="8978" width="8.7109375" style="236" bestFit="1" customWidth="1"/>
    <col min="8979" max="9216" width="11.28515625" style="236"/>
    <col min="9217" max="9217" width="31.42578125" style="236" customWidth="1"/>
    <col min="9218" max="9218" width="1.42578125" style="236" customWidth="1"/>
    <col min="9219" max="9219" width="7.7109375" style="236" bestFit="1" customWidth="1"/>
    <col min="9220" max="9220" width="1.42578125" style="236" customWidth="1"/>
    <col min="9221" max="9221" width="18" style="236" bestFit="1" customWidth="1"/>
    <col min="9222" max="9222" width="1.42578125" style="236" customWidth="1"/>
    <col min="9223" max="9223" width="17.28515625" style="236" bestFit="1" customWidth="1"/>
    <col min="9224" max="9224" width="1.42578125" style="236" customWidth="1"/>
    <col min="9225" max="9225" width="18" style="236" bestFit="1" customWidth="1"/>
    <col min="9226" max="9226" width="1.42578125" style="236" customWidth="1"/>
    <col min="9227" max="9227" width="17.28515625" style="236" bestFit="1" customWidth="1"/>
    <col min="9228" max="9228" width="1.42578125" style="236" customWidth="1"/>
    <col min="9229" max="9229" width="16.28515625" style="236" bestFit="1" customWidth="1"/>
    <col min="9230" max="9230" width="1.42578125" style="236" customWidth="1"/>
    <col min="9231" max="9231" width="17" style="236" bestFit="1" customWidth="1"/>
    <col min="9232" max="9232" width="1.42578125" style="236" customWidth="1"/>
    <col min="9233" max="9233" width="8.85546875" style="236" bestFit="1" customWidth="1"/>
    <col min="9234" max="9234" width="8.7109375" style="236" bestFit="1" customWidth="1"/>
    <col min="9235" max="9472" width="11.28515625" style="236"/>
    <col min="9473" max="9473" width="31.42578125" style="236" customWidth="1"/>
    <col min="9474" max="9474" width="1.42578125" style="236" customWidth="1"/>
    <col min="9475" max="9475" width="7.7109375" style="236" bestFit="1" customWidth="1"/>
    <col min="9476" max="9476" width="1.42578125" style="236" customWidth="1"/>
    <col min="9477" max="9477" width="18" style="236" bestFit="1" customWidth="1"/>
    <col min="9478" max="9478" width="1.42578125" style="236" customWidth="1"/>
    <col min="9479" max="9479" width="17.28515625" style="236" bestFit="1" customWidth="1"/>
    <col min="9480" max="9480" width="1.42578125" style="236" customWidth="1"/>
    <col min="9481" max="9481" width="18" style="236" bestFit="1" customWidth="1"/>
    <col min="9482" max="9482" width="1.42578125" style="236" customWidth="1"/>
    <col min="9483" max="9483" width="17.28515625" style="236" bestFit="1" customWidth="1"/>
    <col min="9484" max="9484" width="1.42578125" style="236" customWidth="1"/>
    <col min="9485" max="9485" width="16.28515625" style="236" bestFit="1" customWidth="1"/>
    <col min="9486" max="9486" width="1.42578125" style="236" customWidth="1"/>
    <col min="9487" max="9487" width="17" style="236" bestFit="1" customWidth="1"/>
    <col min="9488" max="9488" width="1.42578125" style="236" customWidth="1"/>
    <col min="9489" max="9489" width="8.85546875" style="236" bestFit="1" customWidth="1"/>
    <col min="9490" max="9490" width="8.7109375" style="236" bestFit="1" customWidth="1"/>
    <col min="9491" max="9728" width="11.28515625" style="236"/>
    <col min="9729" max="9729" width="31.42578125" style="236" customWidth="1"/>
    <col min="9730" max="9730" width="1.42578125" style="236" customWidth="1"/>
    <col min="9731" max="9731" width="7.7109375" style="236" bestFit="1" customWidth="1"/>
    <col min="9732" max="9732" width="1.42578125" style="236" customWidth="1"/>
    <col min="9733" max="9733" width="18" style="236" bestFit="1" customWidth="1"/>
    <col min="9734" max="9734" width="1.42578125" style="236" customWidth="1"/>
    <col min="9735" max="9735" width="17.28515625" style="236" bestFit="1" customWidth="1"/>
    <col min="9736" max="9736" width="1.42578125" style="236" customWidth="1"/>
    <col min="9737" max="9737" width="18" style="236" bestFit="1" customWidth="1"/>
    <col min="9738" max="9738" width="1.42578125" style="236" customWidth="1"/>
    <col min="9739" max="9739" width="17.28515625" style="236" bestFit="1" customWidth="1"/>
    <col min="9740" max="9740" width="1.42578125" style="236" customWidth="1"/>
    <col min="9741" max="9741" width="16.28515625" style="236" bestFit="1" customWidth="1"/>
    <col min="9742" max="9742" width="1.42578125" style="236" customWidth="1"/>
    <col min="9743" max="9743" width="17" style="236" bestFit="1" customWidth="1"/>
    <col min="9744" max="9744" width="1.42578125" style="236" customWidth="1"/>
    <col min="9745" max="9745" width="8.85546875" style="236" bestFit="1" customWidth="1"/>
    <col min="9746" max="9746" width="8.7109375" style="236" bestFit="1" customWidth="1"/>
    <col min="9747" max="9984" width="11.28515625" style="236"/>
    <col min="9985" max="9985" width="31.42578125" style="236" customWidth="1"/>
    <col min="9986" max="9986" width="1.42578125" style="236" customWidth="1"/>
    <col min="9987" max="9987" width="7.7109375" style="236" bestFit="1" customWidth="1"/>
    <col min="9988" max="9988" width="1.42578125" style="236" customWidth="1"/>
    <col min="9989" max="9989" width="18" style="236" bestFit="1" customWidth="1"/>
    <col min="9990" max="9990" width="1.42578125" style="236" customWidth="1"/>
    <col min="9991" max="9991" width="17.28515625" style="236" bestFit="1" customWidth="1"/>
    <col min="9992" max="9992" width="1.42578125" style="236" customWidth="1"/>
    <col min="9993" max="9993" width="18" style="236" bestFit="1" customWidth="1"/>
    <col min="9994" max="9994" width="1.42578125" style="236" customWidth="1"/>
    <col min="9995" max="9995" width="17.28515625" style="236" bestFit="1" customWidth="1"/>
    <col min="9996" max="9996" width="1.42578125" style="236" customWidth="1"/>
    <col min="9997" max="9997" width="16.28515625" style="236" bestFit="1" customWidth="1"/>
    <col min="9998" max="9998" width="1.42578125" style="236" customWidth="1"/>
    <col min="9999" max="9999" width="17" style="236" bestFit="1" customWidth="1"/>
    <col min="10000" max="10000" width="1.42578125" style="236" customWidth="1"/>
    <col min="10001" max="10001" width="8.85546875" style="236" bestFit="1" customWidth="1"/>
    <col min="10002" max="10002" width="8.7109375" style="236" bestFit="1" customWidth="1"/>
    <col min="10003" max="10240" width="11.28515625" style="236"/>
    <col min="10241" max="10241" width="31.42578125" style="236" customWidth="1"/>
    <col min="10242" max="10242" width="1.42578125" style="236" customWidth="1"/>
    <col min="10243" max="10243" width="7.7109375" style="236" bestFit="1" customWidth="1"/>
    <col min="10244" max="10244" width="1.42578125" style="236" customWidth="1"/>
    <col min="10245" max="10245" width="18" style="236" bestFit="1" customWidth="1"/>
    <col min="10246" max="10246" width="1.42578125" style="236" customWidth="1"/>
    <col min="10247" max="10247" width="17.28515625" style="236" bestFit="1" customWidth="1"/>
    <col min="10248" max="10248" width="1.42578125" style="236" customWidth="1"/>
    <col min="10249" max="10249" width="18" style="236" bestFit="1" customWidth="1"/>
    <col min="10250" max="10250" width="1.42578125" style="236" customWidth="1"/>
    <col min="10251" max="10251" width="17.28515625" style="236" bestFit="1" customWidth="1"/>
    <col min="10252" max="10252" width="1.42578125" style="236" customWidth="1"/>
    <col min="10253" max="10253" width="16.28515625" style="236" bestFit="1" customWidth="1"/>
    <col min="10254" max="10254" width="1.42578125" style="236" customWidth="1"/>
    <col min="10255" max="10255" width="17" style="236" bestFit="1" customWidth="1"/>
    <col min="10256" max="10256" width="1.42578125" style="236" customWidth="1"/>
    <col min="10257" max="10257" width="8.85546875" style="236" bestFit="1" customWidth="1"/>
    <col min="10258" max="10258" width="8.7109375" style="236" bestFit="1" customWidth="1"/>
    <col min="10259" max="10496" width="11.28515625" style="236"/>
    <col min="10497" max="10497" width="31.42578125" style="236" customWidth="1"/>
    <col min="10498" max="10498" width="1.42578125" style="236" customWidth="1"/>
    <col min="10499" max="10499" width="7.7109375" style="236" bestFit="1" customWidth="1"/>
    <col min="10500" max="10500" width="1.42578125" style="236" customWidth="1"/>
    <col min="10501" max="10501" width="18" style="236" bestFit="1" customWidth="1"/>
    <col min="10502" max="10502" width="1.42578125" style="236" customWidth="1"/>
    <col min="10503" max="10503" width="17.28515625" style="236" bestFit="1" customWidth="1"/>
    <col min="10504" max="10504" width="1.42578125" style="236" customWidth="1"/>
    <col min="10505" max="10505" width="18" style="236" bestFit="1" customWidth="1"/>
    <col min="10506" max="10506" width="1.42578125" style="236" customWidth="1"/>
    <col min="10507" max="10507" width="17.28515625" style="236" bestFit="1" customWidth="1"/>
    <col min="10508" max="10508" width="1.42578125" style="236" customWidth="1"/>
    <col min="10509" max="10509" width="16.28515625" style="236" bestFit="1" customWidth="1"/>
    <col min="10510" max="10510" width="1.42578125" style="236" customWidth="1"/>
    <col min="10511" max="10511" width="17" style="236" bestFit="1" customWidth="1"/>
    <col min="10512" max="10512" width="1.42578125" style="236" customWidth="1"/>
    <col min="10513" max="10513" width="8.85546875" style="236" bestFit="1" customWidth="1"/>
    <col min="10514" max="10514" width="8.7109375" style="236" bestFit="1" customWidth="1"/>
    <col min="10515" max="10752" width="11.28515625" style="236"/>
    <col min="10753" max="10753" width="31.42578125" style="236" customWidth="1"/>
    <col min="10754" max="10754" width="1.42578125" style="236" customWidth="1"/>
    <col min="10755" max="10755" width="7.7109375" style="236" bestFit="1" customWidth="1"/>
    <col min="10756" max="10756" width="1.42578125" style="236" customWidth="1"/>
    <col min="10757" max="10757" width="18" style="236" bestFit="1" customWidth="1"/>
    <col min="10758" max="10758" width="1.42578125" style="236" customWidth="1"/>
    <col min="10759" max="10759" width="17.28515625" style="236" bestFit="1" customWidth="1"/>
    <col min="10760" max="10760" width="1.42578125" style="236" customWidth="1"/>
    <col min="10761" max="10761" width="18" style="236" bestFit="1" customWidth="1"/>
    <col min="10762" max="10762" width="1.42578125" style="236" customWidth="1"/>
    <col min="10763" max="10763" width="17.28515625" style="236" bestFit="1" customWidth="1"/>
    <col min="10764" max="10764" width="1.42578125" style="236" customWidth="1"/>
    <col min="10765" max="10765" width="16.28515625" style="236" bestFit="1" customWidth="1"/>
    <col min="10766" max="10766" width="1.42578125" style="236" customWidth="1"/>
    <col min="10767" max="10767" width="17" style="236" bestFit="1" customWidth="1"/>
    <col min="10768" max="10768" width="1.42578125" style="236" customWidth="1"/>
    <col min="10769" max="10769" width="8.85546875" style="236" bestFit="1" customWidth="1"/>
    <col min="10770" max="10770" width="8.7109375" style="236" bestFit="1" customWidth="1"/>
    <col min="10771" max="11008" width="11.28515625" style="236"/>
    <col min="11009" max="11009" width="31.42578125" style="236" customWidth="1"/>
    <col min="11010" max="11010" width="1.42578125" style="236" customWidth="1"/>
    <col min="11011" max="11011" width="7.7109375" style="236" bestFit="1" customWidth="1"/>
    <col min="11012" max="11012" width="1.42578125" style="236" customWidth="1"/>
    <col min="11013" max="11013" width="18" style="236" bestFit="1" customWidth="1"/>
    <col min="11014" max="11014" width="1.42578125" style="236" customWidth="1"/>
    <col min="11015" max="11015" width="17.28515625" style="236" bestFit="1" customWidth="1"/>
    <col min="11016" max="11016" width="1.42578125" style="236" customWidth="1"/>
    <col min="11017" max="11017" width="18" style="236" bestFit="1" customWidth="1"/>
    <col min="11018" max="11018" width="1.42578125" style="236" customWidth="1"/>
    <col min="11019" max="11019" width="17.28515625" style="236" bestFit="1" customWidth="1"/>
    <col min="11020" max="11020" width="1.42578125" style="236" customWidth="1"/>
    <col min="11021" max="11021" width="16.28515625" style="236" bestFit="1" customWidth="1"/>
    <col min="11022" max="11022" width="1.42578125" style="236" customWidth="1"/>
    <col min="11023" max="11023" width="17" style="236" bestFit="1" customWidth="1"/>
    <col min="11024" max="11024" width="1.42578125" style="236" customWidth="1"/>
    <col min="11025" max="11025" width="8.85546875" style="236" bestFit="1" customWidth="1"/>
    <col min="11026" max="11026" width="8.7109375" style="236" bestFit="1" customWidth="1"/>
    <col min="11027" max="11264" width="11.28515625" style="236"/>
    <col min="11265" max="11265" width="31.42578125" style="236" customWidth="1"/>
    <col min="11266" max="11266" width="1.42578125" style="236" customWidth="1"/>
    <col min="11267" max="11267" width="7.7109375" style="236" bestFit="1" customWidth="1"/>
    <col min="11268" max="11268" width="1.42578125" style="236" customWidth="1"/>
    <col min="11269" max="11269" width="18" style="236" bestFit="1" customWidth="1"/>
    <col min="11270" max="11270" width="1.42578125" style="236" customWidth="1"/>
    <col min="11271" max="11271" width="17.28515625" style="236" bestFit="1" customWidth="1"/>
    <col min="11272" max="11272" width="1.42578125" style="236" customWidth="1"/>
    <col min="11273" max="11273" width="18" style="236" bestFit="1" customWidth="1"/>
    <col min="11274" max="11274" width="1.42578125" style="236" customWidth="1"/>
    <col min="11275" max="11275" width="17.28515625" style="236" bestFit="1" customWidth="1"/>
    <col min="11276" max="11276" width="1.42578125" style="236" customWidth="1"/>
    <col min="11277" max="11277" width="16.28515625" style="236" bestFit="1" customWidth="1"/>
    <col min="11278" max="11278" width="1.42578125" style="236" customWidth="1"/>
    <col min="11279" max="11279" width="17" style="236" bestFit="1" customWidth="1"/>
    <col min="11280" max="11280" width="1.42578125" style="236" customWidth="1"/>
    <col min="11281" max="11281" width="8.85546875" style="236" bestFit="1" customWidth="1"/>
    <col min="11282" max="11282" width="8.7109375" style="236" bestFit="1" customWidth="1"/>
    <col min="11283" max="11520" width="11.28515625" style="236"/>
    <col min="11521" max="11521" width="31.42578125" style="236" customWidth="1"/>
    <col min="11522" max="11522" width="1.42578125" style="236" customWidth="1"/>
    <col min="11523" max="11523" width="7.7109375" style="236" bestFit="1" customWidth="1"/>
    <col min="11524" max="11524" width="1.42578125" style="236" customWidth="1"/>
    <col min="11525" max="11525" width="18" style="236" bestFit="1" customWidth="1"/>
    <col min="11526" max="11526" width="1.42578125" style="236" customWidth="1"/>
    <col min="11527" max="11527" width="17.28515625" style="236" bestFit="1" customWidth="1"/>
    <col min="11528" max="11528" width="1.42578125" style="236" customWidth="1"/>
    <col min="11529" max="11529" width="18" style="236" bestFit="1" customWidth="1"/>
    <col min="11530" max="11530" width="1.42578125" style="236" customWidth="1"/>
    <col min="11531" max="11531" width="17.28515625" style="236" bestFit="1" customWidth="1"/>
    <col min="11532" max="11532" width="1.42578125" style="236" customWidth="1"/>
    <col min="11533" max="11533" width="16.28515625" style="236" bestFit="1" customWidth="1"/>
    <col min="11534" max="11534" width="1.42578125" style="236" customWidth="1"/>
    <col min="11535" max="11535" width="17" style="236" bestFit="1" customWidth="1"/>
    <col min="11536" max="11536" width="1.42578125" style="236" customWidth="1"/>
    <col min="11537" max="11537" width="8.85546875" style="236" bestFit="1" customWidth="1"/>
    <col min="11538" max="11538" width="8.7109375" style="236" bestFit="1" customWidth="1"/>
    <col min="11539" max="11776" width="11.28515625" style="236"/>
    <col min="11777" max="11777" width="31.42578125" style="236" customWidth="1"/>
    <col min="11778" max="11778" width="1.42578125" style="236" customWidth="1"/>
    <col min="11779" max="11779" width="7.7109375" style="236" bestFit="1" customWidth="1"/>
    <col min="11780" max="11780" width="1.42578125" style="236" customWidth="1"/>
    <col min="11781" max="11781" width="18" style="236" bestFit="1" customWidth="1"/>
    <col min="11782" max="11782" width="1.42578125" style="236" customWidth="1"/>
    <col min="11783" max="11783" width="17.28515625" style="236" bestFit="1" customWidth="1"/>
    <col min="11784" max="11784" width="1.42578125" style="236" customWidth="1"/>
    <col min="11785" max="11785" width="18" style="236" bestFit="1" customWidth="1"/>
    <col min="11786" max="11786" width="1.42578125" style="236" customWidth="1"/>
    <col min="11787" max="11787" width="17.28515625" style="236" bestFit="1" customWidth="1"/>
    <col min="11788" max="11788" width="1.42578125" style="236" customWidth="1"/>
    <col min="11789" max="11789" width="16.28515625" style="236" bestFit="1" customWidth="1"/>
    <col min="11790" max="11790" width="1.42578125" style="236" customWidth="1"/>
    <col min="11791" max="11791" width="17" style="236" bestFit="1" customWidth="1"/>
    <col min="11792" max="11792" width="1.42578125" style="236" customWidth="1"/>
    <col min="11793" max="11793" width="8.85546875" style="236" bestFit="1" customWidth="1"/>
    <col min="11794" max="11794" width="8.7109375" style="236" bestFit="1" customWidth="1"/>
    <col min="11795" max="12032" width="11.28515625" style="236"/>
    <col min="12033" max="12033" width="31.42578125" style="236" customWidth="1"/>
    <col min="12034" max="12034" width="1.42578125" style="236" customWidth="1"/>
    <col min="12035" max="12035" width="7.7109375" style="236" bestFit="1" customWidth="1"/>
    <col min="12036" max="12036" width="1.42578125" style="236" customWidth="1"/>
    <col min="12037" max="12037" width="18" style="236" bestFit="1" customWidth="1"/>
    <col min="12038" max="12038" width="1.42578125" style="236" customWidth="1"/>
    <col min="12039" max="12039" width="17.28515625" style="236" bestFit="1" customWidth="1"/>
    <col min="12040" max="12040" width="1.42578125" style="236" customWidth="1"/>
    <col min="12041" max="12041" width="18" style="236" bestFit="1" customWidth="1"/>
    <col min="12042" max="12042" width="1.42578125" style="236" customWidth="1"/>
    <col min="12043" max="12043" width="17.28515625" style="236" bestFit="1" customWidth="1"/>
    <col min="12044" max="12044" width="1.42578125" style="236" customWidth="1"/>
    <col min="12045" max="12045" width="16.28515625" style="236" bestFit="1" customWidth="1"/>
    <col min="12046" max="12046" width="1.42578125" style="236" customWidth="1"/>
    <col min="12047" max="12047" width="17" style="236" bestFit="1" customWidth="1"/>
    <col min="12048" max="12048" width="1.42578125" style="236" customWidth="1"/>
    <col min="12049" max="12049" width="8.85546875" style="236" bestFit="1" customWidth="1"/>
    <col min="12050" max="12050" width="8.7109375" style="236" bestFit="1" customWidth="1"/>
    <col min="12051" max="12288" width="11.28515625" style="236"/>
    <col min="12289" max="12289" width="31.42578125" style="236" customWidth="1"/>
    <col min="12290" max="12290" width="1.42578125" style="236" customWidth="1"/>
    <col min="12291" max="12291" width="7.7109375" style="236" bestFit="1" customWidth="1"/>
    <col min="12292" max="12292" width="1.42578125" style="236" customWidth="1"/>
    <col min="12293" max="12293" width="18" style="236" bestFit="1" customWidth="1"/>
    <col min="12294" max="12294" width="1.42578125" style="236" customWidth="1"/>
    <col min="12295" max="12295" width="17.28515625" style="236" bestFit="1" customWidth="1"/>
    <col min="12296" max="12296" width="1.42578125" style="236" customWidth="1"/>
    <col min="12297" max="12297" width="18" style="236" bestFit="1" customWidth="1"/>
    <col min="12298" max="12298" width="1.42578125" style="236" customWidth="1"/>
    <col min="12299" max="12299" width="17.28515625" style="236" bestFit="1" customWidth="1"/>
    <col min="12300" max="12300" width="1.42578125" style="236" customWidth="1"/>
    <col min="12301" max="12301" width="16.28515625" style="236" bestFit="1" customWidth="1"/>
    <col min="12302" max="12302" width="1.42578125" style="236" customWidth="1"/>
    <col min="12303" max="12303" width="17" style="236" bestFit="1" customWidth="1"/>
    <col min="12304" max="12304" width="1.42578125" style="236" customWidth="1"/>
    <col min="12305" max="12305" width="8.85546875" style="236" bestFit="1" customWidth="1"/>
    <col min="12306" max="12306" width="8.7109375" style="236" bestFit="1" customWidth="1"/>
    <col min="12307" max="12544" width="11.28515625" style="236"/>
    <col min="12545" max="12545" width="31.42578125" style="236" customWidth="1"/>
    <col min="12546" max="12546" width="1.42578125" style="236" customWidth="1"/>
    <col min="12547" max="12547" width="7.7109375" style="236" bestFit="1" customWidth="1"/>
    <col min="12548" max="12548" width="1.42578125" style="236" customWidth="1"/>
    <col min="12549" max="12549" width="18" style="236" bestFit="1" customWidth="1"/>
    <col min="12550" max="12550" width="1.42578125" style="236" customWidth="1"/>
    <col min="12551" max="12551" width="17.28515625" style="236" bestFit="1" customWidth="1"/>
    <col min="12552" max="12552" width="1.42578125" style="236" customWidth="1"/>
    <col min="12553" max="12553" width="18" style="236" bestFit="1" customWidth="1"/>
    <col min="12554" max="12554" width="1.42578125" style="236" customWidth="1"/>
    <col min="12555" max="12555" width="17.28515625" style="236" bestFit="1" customWidth="1"/>
    <col min="12556" max="12556" width="1.42578125" style="236" customWidth="1"/>
    <col min="12557" max="12557" width="16.28515625" style="236" bestFit="1" customWidth="1"/>
    <col min="12558" max="12558" width="1.42578125" style="236" customWidth="1"/>
    <col min="12559" max="12559" width="17" style="236" bestFit="1" customWidth="1"/>
    <col min="12560" max="12560" width="1.42578125" style="236" customWidth="1"/>
    <col min="12561" max="12561" width="8.85546875" style="236" bestFit="1" customWidth="1"/>
    <col min="12562" max="12562" width="8.7109375" style="236" bestFit="1" customWidth="1"/>
    <col min="12563" max="12800" width="11.28515625" style="236"/>
    <col min="12801" max="12801" width="31.42578125" style="236" customWidth="1"/>
    <col min="12802" max="12802" width="1.42578125" style="236" customWidth="1"/>
    <col min="12803" max="12803" width="7.7109375" style="236" bestFit="1" customWidth="1"/>
    <col min="12804" max="12804" width="1.42578125" style="236" customWidth="1"/>
    <col min="12805" max="12805" width="18" style="236" bestFit="1" customWidth="1"/>
    <col min="12806" max="12806" width="1.42578125" style="236" customWidth="1"/>
    <col min="12807" max="12807" width="17.28515625" style="236" bestFit="1" customWidth="1"/>
    <col min="12808" max="12808" width="1.42578125" style="236" customWidth="1"/>
    <col min="12809" max="12809" width="18" style="236" bestFit="1" customWidth="1"/>
    <col min="12810" max="12810" width="1.42578125" style="236" customWidth="1"/>
    <col min="12811" max="12811" width="17.28515625" style="236" bestFit="1" customWidth="1"/>
    <col min="12812" max="12812" width="1.42578125" style="236" customWidth="1"/>
    <col min="12813" max="12813" width="16.28515625" style="236" bestFit="1" customWidth="1"/>
    <col min="12814" max="12814" width="1.42578125" style="236" customWidth="1"/>
    <col min="12815" max="12815" width="17" style="236" bestFit="1" customWidth="1"/>
    <col min="12816" max="12816" width="1.42578125" style="236" customWidth="1"/>
    <col min="12817" max="12817" width="8.85546875" style="236" bestFit="1" customWidth="1"/>
    <col min="12818" max="12818" width="8.7109375" style="236" bestFit="1" customWidth="1"/>
    <col min="12819" max="13056" width="11.28515625" style="236"/>
    <col min="13057" max="13057" width="31.42578125" style="236" customWidth="1"/>
    <col min="13058" max="13058" width="1.42578125" style="236" customWidth="1"/>
    <col min="13059" max="13059" width="7.7109375" style="236" bestFit="1" customWidth="1"/>
    <col min="13060" max="13060" width="1.42578125" style="236" customWidth="1"/>
    <col min="13061" max="13061" width="18" style="236" bestFit="1" customWidth="1"/>
    <col min="13062" max="13062" width="1.42578125" style="236" customWidth="1"/>
    <col min="13063" max="13063" width="17.28515625" style="236" bestFit="1" customWidth="1"/>
    <col min="13064" max="13064" width="1.42578125" style="236" customWidth="1"/>
    <col min="13065" max="13065" width="18" style="236" bestFit="1" customWidth="1"/>
    <col min="13066" max="13066" width="1.42578125" style="236" customWidth="1"/>
    <col min="13067" max="13067" width="17.28515625" style="236" bestFit="1" customWidth="1"/>
    <col min="13068" max="13068" width="1.42578125" style="236" customWidth="1"/>
    <col min="13069" max="13069" width="16.28515625" style="236" bestFit="1" customWidth="1"/>
    <col min="13070" max="13070" width="1.42578125" style="236" customWidth="1"/>
    <col min="13071" max="13071" width="17" style="236" bestFit="1" customWidth="1"/>
    <col min="13072" max="13072" width="1.42578125" style="236" customWidth="1"/>
    <col min="13073" max="13073" width="8.85546875" style="236" bestFit="1" customWidth="1"/>
    <col min="13074" max="13074" width="8.7109375" style="236" bestFit="1" customWidth="1"/>
    <col min="13075" max="13312" width="11.28515625" style="236"/>
    <col min="13313" max="13313" width="31.42578125" style="236" customWidth="1"/>
    <col min="13314" max="13314" width="1.42578125" style="236" customWidth="1"/>
    <col min="13315" max="13315" width="7.7109375" style="236" bestFit="1" customWidth="1"/>
    <col min="13316" max="13316" width="1.42578125" style="236" customWidth="1"/>
    <col min="13317" max="13317" width="18" style="236" bestFit="1" customWidth="1"/>
    <col min="13318" max="13318" width="1.42578125" style="236" customWidth="1"/>
    <col min="13319" max="13319" width="17.28515625" style="236" bestFit="1" customWidth="1"/>
    <col min="13320" max="13320" width="1.42578125" style="236" customWidth="1"/>
    <col min="13321" max="13321" width="18" style="236" bestFit="1" customWidth="1"/>
    <col min="13322" max="13322" width="1.42578125" style="236" customWidth="1"/>
    <col min="13323" max="13323" width="17.28515625" style="236" bestFit="1" customWidth="1"/>
    <col min="13324" max="13324" width="1.42578125" style="236" customWidth="1"/>
    <col min="13325" max="13325" width="16.28515625" style="236" bestFit="1" customWidth="1"/>
    <col min="13326" max="13326" width="1.42578125" style="236" customWidth="1"/>
    <col min="13327" max="13327" width="17" style="236" bestFit="1" customWidth="1"/>
    <col min="13328" max="13328" width="1.42578125" style="236" customWidth="1"/>
    <col min="13329" max="13329" width="8.85546875" style="236" bestFit="1" customWidth="1"/>
    <col min="13330" max="13330" width="8.7109375" style="236" bestFit="1" customWidth="1"/>
    <col min="13331" max="13568" width="11.28515625" style="236"/>
    <col min="13569" max="13569" width="31.42578125" style="236" customWidth="1"/>
    <col min="13570" max="13570" width="1.42578125" style="236" customWidth="1"/>
    <col min="13571" max="13571" width="7.7109375" style="236" bestFit="1" customWidth="1"/>
    <col min="13572" max="13572" width="1.42578125" style="236" customWidth="1"/>
    <col min="13573" max="13573" width="18" style="236" bestFit="1" customWidth="1"/>
    <col min="13574" max="13574" width="1.42578125" style="236" customWidth="1"/>
    <col min="13575" max="13575" width="17.28515625" style="236" bestFit="1" customWidth="1"/>
    <col min="13576" max="13576" width="1.42578125" style="236" customWidth="1"/>
    <col min="13577" max="13577" width="18" style="236" bestFit="1" customWidth="1"/>
    <col min="13578" max="13578" width="1.42578125" style="236" customWidth="1"/>
    <col min="13579" max="13579" width="17.28515625" style="236" bestFit="1" customWidth="1"/>
    <col min="13580" max="13580" width="1.42578125" style="236" customWidth="1"/>
    <col min="13581" max="13581" width="16.28515625" style="236" bestFit="1" customWidth="1"/>
    <col min="13582" max="13582" width="1.42578125" style="236" customWidth="1"/>
    <col min="13583" max="13583" width="17" style="236" bestFit="1" customWidth="1"/>
    <col min="13584" max="13584" width="1.42578125" style="236" customWidth="1"/>
    <col min="13585" max="13585" width="8.85546875" style="236" bestFit="1" customWidth="1"/>
    <col min="13586" max="13586" width="8.7109375" style="236" bestFit="1" customWidth="1"/>
    <col min="13587" max="13824" width="11.28515625" style="236"/>
    <col min="13825" max="13825" width="31.42578125" style="236" customWidth="1"/>
    <col min="13826" max="13826" width="1.42578125" style="236" customWidth="1"/>
    <col min="13827" max="13827" width="7.7109375" style="236" bestFit="1" customWidth="1"/>
    <col min="13828" max="13828" width="1.42578125" style="236" customWidth="1"/>
    <col min="13829" max="13829" width="18" style="236" bestFit="1" customWidth="1"/>
    <col min="13830" max="13830" width="1.42578125" style="236" customWidth="1"/>
    <col min="13831" max="13831" width="17.28515625" style="236" bestFit="1" customWidth="1"/>
    <col min="13832" max="13832" width="1.42578125" style="236" customWidth="1"/>
    <col min="13833" max="13833" width="18" style="236" bestFit="1" customWidth="1"/>
    <col min="13834" max="13834" width="1.42578125" style="236" customWidth="1"/>
    <col min="13835" max="13835" width="17.28515625" style="236" bestFit="1" customWidth="1"/>
    <col min="13836" max="13836" width="1.42578125" style="236" customWidth="1"/>
    <col min="13837" max="13837" width="16.28515625" style="236" bestFit="1" customWidth="1"/>
    <col min="13838" max="13838" width="1.42578125" style="236" customWidth="1"/>
    <col min="13839" max="13839" width="17" style="236" bestFit="1" customWidth="1"/>
    <col min="13840" max="13840" width="1.42578125" style="236" customWidth="1"/>
    <col min="13841" max="13841" width="8.85546875" style="236" bestFit="1" customWidth="1"/>
    <col min="13842" max="13842" width="8.7109375" style="236" bestFit="1" customWidth="1"/>
    <col min="13843" max="14080" width="11.28515625" style="236"/>
    <col min="14081" max="14081" width="31.42578125" style="236" customWidth="1"/>
    <col min="14082" max="14082" width="1.42578125" style="236" customWidth="1"/>
    <col min="14083" max="14083" width="7.7109375" style="236" bestFit="1" customWidth="1"/>
    <col min="14084" max="14084" width="1.42578125" style="236" customWidth="1"/>
    <col min="14085" max="14085" width="18" style="236" bestFit="1" customWidth="1"/>
    <col min="14086" max="14086" width="1.42578125" style="236" customWidth="1"/>
    <col min="14087" max="14087" width="17.28515625" style="236" bestFit="1" customWidth="1"/>
    <col min="14088" max="14088" width="1.42578125" style="236" customWidth="1"/>
    <col min="14089" max="14089" width="18" style="236" bestFit="1" customWidth="1"/>
    <col min="14090" max="14090" width="1.42578125" style="236" customWidth="1"/>
    <col min="14091" max="14091" width="17.28515625" style="236" bestFit="1" customWidth="1"/>
    <col min="14092" max="14092" width="1.42578125" style="236" customWidth="1"/>
    <col min="14093" max="14093" width="16.28515625" style="236" bestFit="1" customWidth="1"/>
    <col min="14094" max="14094" width="1.42578125" style="236" customWidth="1"/>
    <col min="14095" max="14095" width="17" style="236" bestFit="1" customWidth="1"/>
    <col min="14096" max="14096" width="1.42578125" style="236" customWidth="1"/>
    <col min="14097" max="14097" width="8.85546875" style="236" bestFit="1" customWidth="1"/>
    <col min="14098" max="14098" width="8.7109375" style="236" bestFit="1" customWidth="1"/>
    <col min="14099" max="14336" width="11.28515625" style="236"/>
    <col min="14337" max="14337" width="31.42578125" style="236" customWidth="1"/>
    <col min="14338" max="14338" width="1.42578125" style="236" customWidth="1"/>
    <col min="14339" max="14339" width="7.7109375" style="236" bestFit="1" customWidth="1"/>
    <col min="14340" max="14340" width="1.42578125" style="236" customWidth="1"/>
    <col min="14341" max="14341" width="18" style="236" bestFit="1" customWidth="1"/>
    <col min="14342" max="14342" width="1.42578125" style="236" customWidth="1"/>
    <col min="14343" max="14343" width="17.28515625" style="236" bestFit="1" customWidth="1"/>
    <col min="14344" max="14344" width="1.42578125" style="236" customWidth="1"/>
    <col min="14345" max="14345" width="18" style="236" bestFit="1" customWidth="1"/>
    <col min="14346" max="14346" width="1.42578125" style="236" customWidth="1"/>
    <col min="14347" max="14347" width="17.28515625" style="236" bestFit="1" customWidth="1"/>
    <col min="14348" max="14348" width="1.42578125" style="236" customWidth="1"/>
    <col min="14349" max="14349" width="16.28515625" style="236" bestFit="1" customWidth="1"/>
    <col min="14350" max="14350" width="1.42578125" style="236" customWidth="1"/>
    <col min="14351" max="14351" width="17" style="236" bestFit="1" customWidth="1"/>
    <col min="14352" max="14352" width="1.42578125" style="236" customWidth="1"/>
    <col min="14353" max="14353" width="8.85546875" style="236" bestFit="1" customWidth="1"/>
    <col min="14354" max="14354" width="8.7109375" style="236" bestFit="1" customWidth="1"/>
    <col min="14355" max="14592" width="11.28515625" style="236"/>
    <col min="14593" max="14593" width="31.42578125" style="236" customWidth="1"/>
    <col min="14594" max="14594" width="1.42578125" style="236" customWidth="1"/>
    <col min="14595" max="14595" width="7.7109375" style="236" bestFit="1" customWidth="1"/>
    <col min="14596" max="14596" width="1.42578125" style="236" customWidth="1"/>
    <col min="14597" max="14597" width="18" style="236" bestFit="1" customWidth="1"/>
    <col min="14598" max="14598" width="1.42578125" style="236" customWidth="1"/>
    <col min="14599" max="14599" width="17.28515625" style="236" bestFit="1" customWidth="1"/>
    <col min="14600" max="14600" width="1.42578125" style="236" customWidth="1"/>
    <col min="14601" max="14601" width="18" style="236" bestFit="1" customWidth="1"/>
    <col min="14602" max="14602" width="1.42578125" style="236" customWidth="1"/>
    <col min="14603" max="14603" width="17.28515625" style="236" bestFit="1" customWidth="1"/>
    <col min="14604" max="14604" width="1.42578125" style="236" customWidth="1"/>
    <col min="14605" max="14605" width="16.28515625" style="236" bestFit="1" customWidth="1"/>
    <col min="14606" max="14606" width="1.42578125" style="236" customWidth="1"/>
    <col min="14607" max="14607" width="17" style="236" bestFit="1" customWidth="1"/>
    <col min="14608" max="14608" width="1.42578125" style="236" customWidth="1"/>
    <col min="14609" max="14609" width="8.85546875" style="236" bestFit="1" customWidth="1"/>
    <col min="14610" max="14610" width="8.7109375" style="236" bestFit="1" customWidth="1"/>
    <col min="14611" max="14848" width="11.28515625" style="236"/>
    <col min="14849" max="14849" width="31.42578125" style="236" customWidth="1"/>
    <col min="14850" max="14850" width="1.42578125" style="236" customWidth="1"/>
    <col min="14851" max="14851" width="7.7109375" style="236" bestFit="1" customWidth="1"/>
    <col min="14852" max="14852" width="1.42578125" style="236" customWidth="1"/>
    <col min="14853" max="14853" width="18" style="236" bestFit="1" customWidth="1"/>
    <col min="14854" max="14854" width="1.42578125" style="236" customWidth="1"/>
    <col min="14855" max="14855" width="17.28515625" style="236" bestFit="1" customWidth="1"/>
    <col min="14856" max="14856" width="1.42578125" style="236" customWidth="1"/>
    <col min="14857" max="14857" width="18" style="236" bestFit="1" customWidth="1"/>
    <col min="14858" max="14858" width="1.42578125" style="236" customWidth="1"/>
    <col min="14859" max="14859" width="17.28515625" style="236" bestFit="1" customWidth="1"/>
    <col min="14860" max="14860" width="1.42578125" style="236" customWidth="1"/>
    <col min="14861" max="14861" width="16.28515625" style="236" bestFit="1" customWidth="1"/>
    <col min="14862" max="14862" width="1.42578125" style="236" customWidth="1"/>
    <col min="14863" max="14863" width="17" style="236" bestFit="1" customWidth="1"/>
    <col min="14864" max="14864" width="1.42578125" style="236" customWidth="1"/>
    <col min="14865" max="14865" width="8.85546875" style="236" bestFit="1" customWidth="1"/>
    <col min="14866" max="14866" width="8.7109375" style="236" bestFit="1" customWidth="1"/>
    <col min="14867" max="15104" width="11.28515625" style="236"/>
    <col min="15105" max="15105" width="31.42578125" style="236" customWidth="1"/>
    <col min="15106" max="15106" width="1.42578125" style="236" customWidth="1"/>
    <col min="15107" max="15107" width="7.7109375" style="236" bestFit="1" customWidth="1"/>
    <col min="15108" max="15108" width="1.42578125" style="236" customWidth="1"/>
    <col min="15109" max="15109" width="18" style="236" bestFit="1" customWidth="1"/>
    <col min="15110" max="15110" width="1.42578125" style="236" customWidth="1"/>
    <col min="15111" max="15111" width="17.28515625" style="236" bestFit="1" customWidth="1"/>
    <col min="15112" max="15112" width="1.42578125" style="236" customWidth="1"/>
    <col min="15113" max="15113" width="18" style="236" bestFit="1" customWidth="1"/>
    <col min="15114" max="15114" width="1.42578125" style="236" customWidth="1"/>
    <col min="15115" max="15115" width="17.28515625" style="236" bestFit="1" customWidth="1"/>
    <col min="15116" max="15116" width="1.42578125" style="236" customWidth="1"/>
    <col min="15117" max="15117" width="16.28515625" style="236" bestFit="1" customWidth="1"/>
    <col min="15118" max="15118" width="1.42578125" style="236" customWidth="1"/>
    <col min="15119" max="15119" width="17" style="236" bestFit="1" customWidth="1"/>
    <col min="15120" max="15120" width="1.42578125" style="236" customWidth="1"/>
    <col min="15121" max="15121" width="8.85546875" style="236" bestFit="1" customWidth="1"/>
    <col min="15122" max="15122" width="8.7109375" style="236" bestFit="1" customWidth="1"/>
    <col min="15123" max="15360" width="11.28515625" style="236"/>
    <col min="15361" max="15361" width="31.42578125" style="236" customWidth="1"/>
    <col min="15362" max="15362" width="1.42578125" style="236" customWidth="1"/>
    <col min="15363" max="15363" width="7.7109375" style="236" bestFit="1" customWidth="1"/>
    <col min="15364" max="15364" width="1.42578125" style="236" customWidth="1"/>
    <col min="15365" max="15365" width="18" style="236" bestFit="1" customWidth="1"/>
    <col min="15366" max="15366" width="1.42578125" style="236" customWidth="1"/>
    <col min="15367" max="15367" width="17.28515625" style="236" bestFit="1" customWidth="1"/>
    <col min="15368" max="15368" width="1.42578125" style="236" customWidth="1"/>
    <col min="15369" max="15369" width="18" style="236" bestFit="1" customWidth="1"/>
    <col min="15370" max="15370" width="1.42578125" style="236" customWidth="1"/>
    <col min="15371" max="15371" width="17.28515625" style="236" bestFit="1" customWidth="1"/>
    <col min="15372" max="15372" width="1.42578125" style="236" customWidth="1"/>
    <col min="15373" max="15373" width="16.28515625" style="236" bestFit="1" customWidth="1"/>
    <col min="15374" max="15374" width="1.42578125" style="236" customWidth="1"/>
    <col min="15375" max="15375" width="17" style="236" bestFit="1" customWidth="1"/>
    <col min="15376" max="15376" width="1.42578125" style="236" customWidth="1"/>
    <col min="15377" max="15377" width="8.85546875" style="236" bestFit="1" customWidth="1"/>
    <col min="15378" max="15378" width="8.7109375" style="236" bestFit="1" customWidth="1"/>
    <col min="15379" max="15616" width="11.28515625" style="236"/>
    <col min="15617" max="15617" width="31.42578125" style="236" customWidth="1"/>
    <col min="15618" max="15618" width="1.42578125" style="236" customWidth="1"/>
    <col min="15619" max="15619" width="7.7109375" style="236" bestFit="1" customWidth="1"/>
    <col min="15620" max="15620" width="1.42578125" style="236" customWidth="1"/>
    <col min="15621" max="15621" width="18" style="236" bestFit="1" customWidth="1"/>
    <col min="15622" max="15622" width="1.42578125" style="236" customWidth="1"/>
    <col min="15623" max="15623" width="17.28515625" style="236" bestFit="1" customWidth="1"/>
    <col min="15624" max="15624" width="1.42578125" style="236" customWidth="1"/>
    <col min="15625" max="15625" width="18" style="236" bestFit="1" customWidth="1"/>
    <col min="15626" max="15626" width="1.42578125" style="236" customWidth="1"/>
    <col min="15627" max="15627" width="17.28515625" style="236" bestFit="1" customWidth="1"/>
    <col min="15628" max="15628" width="1.42578125" style="236" customWidth="1"/>
    <col min="15629" max="15629" width="16.28515625" style="236" bestFit="1" customWidth="1"/>
    <col min="15630" max="15630" width="1.42578125" style="236" customWidth="1"/>
    <col min="15631" max="15631" width="17" style="236" bestFit="1" customWidth="1"/>
    <col min="15632" max="15632" width="1.42578125" style="236" customWidth="1"/>
    <col min="15633" max="15633" width="8.85546875" style="236" bestFit="1" customWidth="1"/>
    <col min="15634" max="15634" width="8.7109375" style="236" bestFit="1" customWidth="1"/>
    <col min="15635" max="15872" width="11.28515625" style="236"/>
    <col min="15873" max="15873" width="31.42578125" style="236" customWidth="1"/>
    <col min="15874" max="15874" width="1.42578125" style="236" customWidth="1"/>
    <col min="15875" max="15875" width="7.7109375" style="236" bestFit="1" customWidth="1"/>
    <col min="15876" max="15876" width="1.42578125" style="236" customWidth="1"/>
    <col min="15877" max="15877" width="18" style="236" bestFit="1" customWidth="1"/>
    <col min="15878" max="15878" width="1.42578125" style="236" customWidth="1"/>
    <col min="15879" max="15879" width="17.28515625" style="236" bestFit="1" customWidth="1"/>
    <col min="15880" max="15880" width="1.42578125" style="236" customWidth="1"/>
    <col min="15881" max="15881" width="18" style="236" bestFit="1" customWidth="1"/>
    <col min="15882" max="15882" width="1.42578125" style="236" customWidth="1"/>
    <col min="15883" max="15883" width="17.28515625" style="236" bestFit="1" customWidth="1"/>
    <col min="15884" max="15884" width="1.42578125" style="236" customWidth="1"/>
    <col min="15885" max="15885" width="16.28515625" style="236" bestFit="1" customWidth="1"/>
    <col min="15886" max="15886" width="1.42578125" style="236" customWidth="1"/>
    <col min="15887" max="15887" width="17" style="236" bestFit="1" customWidth="1"/>
    <col min="15888" max="15888" width="1.42578125" style="236" customWidth="1"/>
    <col min="15889" max="15889" width="8.85546875" style="236" bestFit="1" customWidth="1"/>
    <col min="15890" max="15890" width="8.7109375" style="236" bestFit="1" customWidth="1"/>
    <col min="15891" max="16128" width="11.28515625" style="236"/>
    <col min="16129" max="16129" width="31.42578125" style="236" customWidth="1"/>
    <col min="16130" max="16130" width="1.42578125" style="236" customWidth="1"/>
    <col min="16131" max="16131" width="7.7109375" style="236" bestFit="1" customWidth="1"/>
    <col min="16132" max="16132" width="1.42578125" style="236" customWidth="1"/>
    <col min="16133" max="16133" width="18" style="236" bestFit="1" customWidth="1"/>
    <col min="16134" max="16134" width="1.42578125" style="236" customWidth="1"/>
    <col min="16135" max="16135" width="17.28515625" style="236" bestFit="1" customWidth="1"/>
    <col min="16136" max="16136" width="1.42578125" style="236" customWidth="1"/>
    <col min="16137" max="16137" width="18" style="236" bestFit="1" customWidth="1"/>
    <col min="16138" max="16138" width="1.42578125" style="236" customWidth="1"/>
    <col min="16139" max="16139" width="17.28515625" style="236" bestFit="1" customWidth="1"/>
    <col min="16140" max="16140" width="1.42578125" style="236" customWidth="1"/>
    <col min="16141" max="16141" width="16.28515625" style="236" bestFit="1" customWidth="1"/>
    <col min="16142" max="16142" width="1.42578125" style="236" customWidth="1"/>
    <col min="16143" max="16143" width="17" style="236" bestFit="1" customWidth="1"/>
    <col min="16144" max="16144" width="1.42578125" style="236" customWidth="1"/>
    <col min="16145" max="16145" width="8.85546875" style="236" bestFit="1" customWidth="1"/>
    <col min="16146" max="16146" width="8.7109375" style="236" bestFit="1" customWidth="1"/>
    <col min="16147" max="16384" width="11.28515625" style="236"/>
  </cols>
  <sheetData>
    <row r="1" spans="1:18" s="255" customFormat="1" ht="15" x14ac:dyDescent="0.2">
      <c r="A1" s="1084" t="s">
        <v>3402</v>
      </c>
      <c r="B1" s="1084"/>
      <c r="C1" s="1084"/>
      <c r="D1" s="1084"/>
      <c r="E1" s="1084"/>
      <c r="F1" s="1084"/>
      <c r="G1" s="1084"/>
      <c r="H1" s="1084"/>
      <c r="I1" s="1084"/>
      <c r="J1" s="1084"/>
      <c r="K1" s="1084"/>
      <c r="L1" s="1084"/>
      <c r="M1" s="1084"/>
      <c r="N1" s="1084"/>
      <c r="O1" s="1084"/>
      <c r="P1" s="1084"/>
      <c r="Q1" s="1084"/>
      <c r="R1" s="254"/>
    </row>
    <row r="2" spans="1:18" s="255" customFormat="1" ht="15" x14ac:dyDescent="0.2">
      <c r="A2" s="1084" t="s">
        <v>3399</v>
      </c>
      <c r="B2" s="1084"/>
      <c r="C2" s="1084"/>
      <c r="D2" s="1084"/>
      <c r="E2" s="1084"/>
      <c r="F2" s="1084"/>
      <c r="G2" s="1084"/>
      <c r="H2" s="1084"/>
      <c r="I2" s="1084"/>
      <c r="J2" s="1084"/>
      <c r="K2" s="1084"/>
      <c r="L2" s="1084"/>
      <c r="M2" s="1084"/>
      <c r="N2" s="1084"/>
      <c r="O2" s="1084"/>
      <c r="P2" s="1084"/>
      <c r="Q2" s="1084"/>
      <c r="R2" s="254"/>
    </row>
    <row r="3" spans="1:18" s="255" customFormat="1" ht="15" x14ac:dyDescent="0.2">
      <c r="A3" s="1084" t="s">
        <v>3400</v>
      </c>
      <c r="B3" s="1084"/>
      <c r="C3" s="1084"/>
      <c r="D3" s="1084"/>
      <c r="E3" s="1084"/>
      <c r="F3" s="1084"/>
      <c r="G3" s="1084"/>
      <c r="H3" s="1084"/>
      <c r="I3" s="1084"/>
      <c r="J3" s="1084"/>
      <c r="K3" s="1084"/>
      <c r="L3" s="1084"/>
      <c r="M3" s="1084"/>
      <c r="N3" s="1084"/>
      <c r="O3" s="1084"/>
      <c r="P3" s="1084"/>
      <c r="Q3" s="1084"/>
      <c r="R3" s="254"/>
    </row>
    <row r="4" spans="1:18" s="255" customFormat="1" ht="15" x14ac:dyDescent="0.2">
      <c r="A4" s="326"/>
      <c r="B4" s="326"/>
      <c r="C4" s="987"/>
      <c r="D4" s="326"/>
      <c r="E4" s="326"/>
      <c r="F4" s="326"/>
      <c r="G4" s="326"/>
      <c r="H4" s="326"/>
      <c r="I4" s="326"/>
      <c r="J4" s="326"/>
      <c r="K4" s="326"/>
      <c r="L4" s="326"/>
      <c r="M4" s="326"/>
      <c r="N4" s="326"/>
      <c r="O4" s="326"/>
      <c r="P4" s="326"/>
      <c r="Q4" s="327"/>
      <c r="R4" s="254"/>
    </row>
    <row r="5" spans="1:18" s="255" customFormat="1" ht="15" x14ac:dyDescent="0.2">
      <c r="A5" s="1084" t="s">
        <v>3405</v>
      </c>
      <c r="B5" s="1084"/>
      <c r="C5" s="1084"/>
      <c r="D5" s="1084"/>
      <c r="E5" s="1084"/>
      <c r="F5" s="1084"/>
      <c r="G5" s="1084"/>
      <c r="H5" s="1084"/>
      <c r="I5" s="1084"/>
      <c r="J5" s="1084"/>
      <c r="K5" s="1084"/>
      <c r="L5" s="1084"/>
      <c r="M5" s="1084"/>
      <c r="N5" s="1084"/>
      <c r="O5" s="1084"/>
      <c r="P5" s="1084"/>
      <c r="Q5" s="1084"/>
      <c r="R5" s="254"/>
    </row>
    <row r="6" spans="1:18" s="255" customFormat="1" ht="15" x14ac:dyDescent="0.2">
      <c r="A6" s="1084" t="s">
        <v>3527</v>
      </c>
      <c r="B6" s="1084"/>
      <c r="C6" s="1084"/>
      <c r="D6" s="1084"/>
      <c r="E6" s="1084"/>
      <c r="F6" s="1084"/>
      <c r="G6" s="1084"/>
      <c r="H6" s="1084"/>
      <c r="I6" s="1084"/>
      <c r="J6" s="1084"/>
      <c r="K6" s="1084"/>
      <c r="L6" s="1084"/>
      <c r="M6" s="1084"/>
      <c r="N6" s="1084"/>
      <c r="O6" s="1084"/>
      <c r="P6" s="1084"/>
      <c r="Q6" s="1084"/>
      <c r="R6" s="254"/>
    </row>
    <row r="7" spans="1:18" s="255" customFormat="1" ht="15" x14ac:dyDescent="0.2">
      <c r="A7" s="1084" t="s">
        <v>3534</v>
      </c>
      <c r="B7" s="1084"/>
      <c r="C7" s="1084"/>
      <c r="D7" s="1084"/>
      <c r="E7" s="1084"/>
      <c r="F7" s="1084"/>
      <c r="G7" s="1084"/>
      <c r="H7" s="1084"/>
      <c r="I7" s="1084"/>
      <c r="J7" s="1084"/>
      <c r="K7" s="1084"/>
      <c r="L7" s="1084"/>
      <c r="M7" s="1084"/>
      <c r="N7" s="1084"/>
      <c r="O7" s="1084"/>
      <c r="P7" s="1084"/>
      <c r="Q7" s="1084"/>
      <c r="R7" s="254"/>
    </row>
    <row r="8" spans="1:18" s="255" customFormat="1" x14ac:dyDescent="0.2">
      <c r="A8" s="235"/>
      <c r="B8" s="235"/>
      <c r="C8" s="235"/>
      <c r="D8" s="235"/>
      <c r="E8" s="235"/>
      <c r="F8" s="235"/>
      <c r="G8" s="235"/>
      <c r="H8" s="235"/>
      <c r="I8" s="235"/>
      <c r="J8" s="235"/>
      <c r="K8" s="235"/>
      <c r="L8" s="235"/>
      <c r="M8" s="235"/>
      <c r="N8" s="235"/>
      <c r="O8" s="235"/>
      <c r="P8" s="235"/>
      <c r="Q8" s="317"/>
      <c r="R8" s="254"/>
    </row>
    <row r="9" spans="1:18" ht="15" thickBot="1" x14ac:dyDescent="0.25">
      <c r="A9" s="251"/>
      <c r="B9" s="237"/>
      <c r="C9" s="333" t="s">
        <v>2812</v>
      </c>
      <c r="D9" s="334"/>
      <c r="E9" s="1082">
        <v>2017</v>
      </c>
      <c r="F9" s="1082"/>
      <c r="G9" s="1083"/>
      <c r="H9" s="335"/>
      <c r="I9" s="1082">
        <v>2016</v>
      </c>
      <c r="J9" s="1082"/>
      <c r="K9" s="1083"/>
      <c r="L9" s="250"/>
      <c r="M9" s="333" t="s">
        <v>2813</v>
      </c>
      <c r="N9" s="330"/>
      <c r="O9" s="333" t="s">
        <v>2814</v>
      </c>
      <c r="P9" s="330"/>
      <c r="Q9" s="336" t="s">
        <v>1427</v>
      </c>
    </row>
    <row r="10" spans="1:18" x14ac:dyDescent="0.2">
      <c r="A10" s="251"/>
      <c r="B10" s="237"/>
      <c r="C10" s="237"/>
      <c r="D10" s="237"/>
      <c r="E10" s="238"/>
      <c r="F10" s="238"/>
      <c r="G10" s="239"/>
      <c r="H10" s="240"/>
      <c r="I10" s="238"/>
      <c r="J10" s="238"/>
      <c r="K10" s="239"/>
      <c r="L10" s="241"/>
      <c r="M10" s="328"/>
      <c r="N10" s="328"/>
      <c r="O10" s="328"/>
      <c r="P10" s="328"/>
      <c r="Q10" s="329"/>
    </row>
    <row r="11" spans="1:18" s="255" customFormat="1" x14ac:dyDescent="0.2">
      <c r="A11" s="337" t="s">
        <v>1765</v>
      </c>
      <c r="B11" s="242"/>
      <c r="C11" s="242"/>
      <c r="D11" s="242"/>
      <c r="E11" s="242"/>
      <c r="F11" s="242"/>
      <c r="G11" s="252"/>
      <c r="H11" s="240"/>
      <c r="I11" s="242"/>
      <c r="J11" s="242"/>
      <c r="K11" s="252"/>
      <c r="L11" s="241"/>
      <c r="M11" s="251"/>
      <c r="N11" s="251"/>
      <c r="O11" s="251"/>
      <c r="P11" s="251"/>
      <c r="Q11" s="318"/>
      <c r="R11" s="254"/>
    </row>
    <row r="12" spans="1:18" s="255" customFormat="1" x14ac:dyDescent="0.2">
      <c r="A12" s="337" t="s">
        <v>1766</v>
      </c>
      <c r="B12" s="242"/>
      <c r="C12" s="243"/>
      <c r="D12" s="242"/>
      <c r="E12" s="242"/>
      <c r="F12" s="242"/>
      <c r="G12" s="241"/>
      <c r="H12" s="338"/>
      <c r="I12" s="242"/>
      <c r="J12" s="242"/>
      <c r="K12" s="241"/>
      <c r="L12" s="241"/>
      <c r="M12" s="339"/>
      <c r="N12" s="251"/>
      <c r="O12" s="251"/>
      <c r="P12" s="251"/>
      <c r="Q12" s="318"/>
      <c r="R12" s="254"/>
    </row>
    <row r="13" spans="1:18" s="255" customFormat="1" x14ac:dyDescent="0.2">
      <c r="A13" s="340" t="s">
        <v>39</v>
      </c>
      <c r="B13" s="245"/>
      <c r="C13" s="988">
        <v>3</v>
      </c>
      <c r="D13" s="245"/>
      <c r="E13" s="245"/>
      <c r="F13" s="245"/>
      <c r="G13" s="241">
        <v>1328175726.24</v>
      </c>
      <c r="H13" s="338"/>
      <c r="I13" s="245"/>
      <c r="J13" s="245"/>
      <c r="K13" s="241">
        <v>1228468850.02</v>
      </c>
      <c r="L13" s="241"/>
      <c r="M13" s="339">
        <f>IF(G13&gt;=K13,(G13-K13),0)</f>
        <v>99706876.220000029</v>
      </c>
      <c r="N13" s="328"/>
      <c r="O13" s="339">
        <f>IF(G13&lt;=K13,(K13-G13),0)</f>
        <v>0</v>
      </c>
      <c r="P13" s="328"/>
      <c r="Q13" s="341">
        <f>IF(M13,(M13/K13),IF(O13,-(O13/K13),0))</f>
        <v>8.1163536396040292E-2</v>
      </c>
    </row>
    <row r="14" spans="1:18" s="255" customFormat="1" x14ac:dyDescent="0.2">
      <c r="A14" s="340" t="s">
        <v>1428</v>
      </c>
      <c r="B14" s="245"/>
      <c r="C14" s="988">
        <v>4</v>
      </c>
      <c r="D14" s="245"/>
      <c r="E14" s="245"/>
      <c r="F14" s="245"/>
      <c r="G14" s="241">
        <v>2970592718.5599999</v>
      </c>
      <c r="H14" s="338"/>
      <c r="I14" s="245"/>
      <c r="J14" s="245"/>
      <c r="K14" s="241">
        <v>4313836549.2799997</v>
      </c>
      <c r="L14" s="241"/>
      <c r="M14" s="339">
        <f>IF(G14&gt;=K14,(G14-K14),0)</f>
        <v>0</v>
      </c>
      <c r="N14" s="342"/>
      <c r="O14" s="339">
        <f>IF(G14&lt;=K14,(K14-G14),0)</f>
        <v>1343243830.7199998</v>
      </c>
      <c r="P14" s="342"/>
      <c r="Q14" s="341">
        <f>IF(M14,(M14/K14),IF(O14,-(O14/K14),0))</f>
        <v>-0.31138032592917636</v>
      </c>
      <c r="R14" s="254"/>
    </row>
    <row r="15" spans="1:18" s="255" customFormat="1" x14ac:dyDescent="0.2">
      <c r="A15" s="340" t="s">
        <v>4155</v>
      </c>
      <c r="B15" s="245"/>
      <c r="C15" s="988">
        <v>5</v>
      </c>
      <c r="D15" s="245"/>
      <c r="E15" s="245"/>
      <c r="F15" s="245"/>
      <c r="G15" s="241">
        <v>87163639111.580002</v>
      </c>
      <c r="H15" s="338"/>
      <c r="I15" s="245"/>
      <c r="J15" s="245"/>
      <c r="K15" s="241">
        <v>75000575641.369995</v>
      </c>
      <c r="L15" s="241"/>
      <c r="M15" s="339">
        <f>IF(G15&gt;=K15,(G15-K15),0)</f>
        <v>12163063470.210007</v>
      </c>
      <c r="N15" s="251"/>
      <c r="O15" s="339">
        <f>IF(G15&lt;=K15,(K15-G15),0)</f>
        <v>0</v>
      </c>
      <c r="P15" s="251"/>
      <c r="Q15" s="341">
        <f>IF(M15,(M15/K15),IF(O15,-(O15/K15),0))</f>
        <v>0.16217293489012788</v>
      </c>
      <c r="R15" s="254"/>
    </row>
    <row r="16" spans="1:18" s="304" customFormat="1" x14ac:dyDescent="0.2">
      <c r="A16" s="343" t="s">
        <v>2815</v>
      </c>
      <c r="B16" s="246"/>
      <c r="C16" s="989"/>
      <c r="D16" s="246"/>
      <c r="E16" s="241">
        <v>7616645521.9200001</v>
      </c>
      <c r="F16" s="245"/>
      <c r="G16" s="241"/>
      <c r="H16" s="338"/>
      <c r="I16" s="241">
        <v>6913473625.3100004</v>
      </c>
      <c r="J16" s="245"/>
      <c r="K16" s="241"/>
      <c r="L16" s="241"/>
      <c r="M16" s="339">
        <f>+IF((E16-I16)&gt;0,(E16-I16),0)</f>
        <v>703171896.60999966</v>
      </c>
      <c r="N16" s="251"/>
      <c r="O16" s="339">
        <f>+IF((E16-I16)&lt;0,(I16-E16),0)</f>
        <v>0</v>
      </c>
      <c r="P16" s="251"/>
      <c r="Q16" s="341">
        <f>+M16/I16</f>
        <v>0.10171036077084468</v>
      </c>
      <c r="R16" s="303"/>
    </row>
    <row r="17" spans="1:18" s="304" customFormat="1" ht="25.5" x14ac:dyDescent="0.2">
      <c r="A17" s="343" t="s">
        <v>3406</v>
      </c>
      <c r="B17" s="246"/>
      <c r="C17" s="989"/>
      <c r="D17" s="246"/>
      <c r="E17" s="344">
        <v>-3572539639.6399999</v>
      </c>
      <c r="F17" s="245"/>
      <c r="G17" s="241"/>
      <c r="H17" s="338"/>
      <c r="I17" s="344">
        <v>-2554491240.3200002</v>
      </c>
      <c r="J17" s="245"/>
      <c r="K17" s="241"/>
      <c r="L17" s="241"/>
      <c r="M17" s="345">
        <f>-+IF((E17-I17)*-1&gt;0,(E17-I17),0)</f>
        <v>1018048399.3199997</v>
      </c>
      <c r="N17" s="345"/>
      <c r="O17" s="345">
        <f>+IF((E17-I17)*-1&lt;0,(E17-I17),0)</f>
        <v>0</v>
      </c>
      <c r="P17" s="345"/>
      <c r="Q17" s="346">
        <f>-M17/I17</f>
        <v>0.3985327423524338</v>
      </c>
      <c r="R17" s="303"/>
    </row>
    <row r="18" spans="1:18" s="255" customFormat="1" ht="25.5" x14ac:dyDescent="0.2">
      <c r="A18" s="340" t="s">
        <v>2816</v>
      </c>
      <c r="B18" s="245"/>
      <c r="C18" s="988">
        <v>6</v>
      </c>
      <c r="D18" s="245"/>
      <c r="E18" s="241"/>
      <c r="F18" s="245"/>
      <c r="G18" s="347">
        <f>+E16+E17</f>
        <v>4044105882.2800002</v>
      </c>
      <c r="H18" s="348"/>
      <c r="I18" s="241"/>
      <c r="J18" s="245"/>
      <c r="K18" s="347">
        <f>+I16+I17</f>
        <v>4358982384.9899998</v>
      </c>
      <c r="L18" s="241"/>
      <c r="M18" s="339">
        <f>IF(G18&gt;=K18,(G18-K18),0)</f>
        <v>0</v>
      </c>
      <c r="N18" s="251"/>
      <c r="O18" s="339">
        <f>IF(G18&lt;=K18,(K18-G18),0)</f>
        <v>314876502.70999956</v>
      </c>
      <c r="P18" s="251"/>
      <c r="Q18" s="341">
        <f>IF(M18,(M18/K18),IF(O18,-(O18/K18),0))</f>
        <v>-7.2236241145241964E-2</v>
      </c>
      <c r="R18" s="254"/>
    </row>
    <row r="19" spans="1:18" s="304" customFormat="1" x14ac:dyDescent="0.2">
      <c r="A19" s="343" t="s">
        <v>2817</v>
      </c>
      <c r="B19" s="246"/>
      <c r="C19" s="989"/>
      <c r="D19" s="246"/>
      <c r="E19" s="241">
        <v>688683426.27999997</v>
      </c>
      <c r="F19" s="245"/>
      <c r="G19" s="241"/>
      <c r="H19" s="338"/>
      <c r="I19" s="241">
        <v>599742641.80999994</v>
      </c>
      <c r="J19" s="245"/>
      <c r="K19" s="241"/>
      <c r="L19" s="241"/>
      <c r="M19" s="339">
        <f>+IF((E19-I19)&gt;0,(E19-I19),0)</f>
        <v>88940784.470000029</v>
      </c>
      <c r="N19" s="251"/>
      <c r="O19" s="339">
        <f>+IF((E19-I19)&lt;0,(E19-I19),0)</f>
        <v>0</v>
      </c>
      <c r="P19" s="251"/>
      <c r="Q19" s="341">
        <f>+M19/I19</f>
        <v>0.14829825039883809</v>
      </c>
      <c r="R19" s="303"/>
    </row>
    <row r="20" spans="1:18" s="304" customFormat="1" ht="25.5" x14ac:dyDescent="0.2">
      <c r="A20" s="343" t="s">
        <v>3407</v>
      </c>
      <c r="B20" s="246"/>
      <c r="C20" s="989"/>
      <c r="D20" s="246"/>
      <c r="E20" s="344">
        <v>-53523043.740000002</v>
      </c>
      <c r="F20" s="245"/>
      <c r="G20" s="241"/>
      <c r="H20" s="338"/>
      <c r="I20" s="344">
        <v>-41892869.109999999</v>
      </c>
      <c r="J20" s="245"/>
      <c r="K20" s="241"/>
      <c r="L20" s="241"/>
      <c r="M20" s="345">
        <f>-+IF((E20-I20)*-1&gt;0,(E20-I20),0)</f>
        <v>11630174.630000003</v>
      </c>
      <c r="N20" s="345"/>
      <c r="O20" s="345">
        <f>+IF((E20-I20)*-1&lt;0,(E20-I20),0)</f>
        <v>0</v>
      </c>
      <c r="P20" s="345"/>
      <c r="Q20" s="346">
        <f>+-M20/I20</f>
        <v>0.27761704741353782</v>
      </c>
      <c r="R20" s="303"/>
    </row>
    <row r="21" spans="1:18" s="255" customFormat="1" ht="25.5" x14ac:dyDescent="0.2">
      <c r="A21" s="340" t="s">
        <v>2818</v>
      </c>
      <c r="B21" s="245"/>
      <c r="C21" s="988">
        <v>7</v>
      </c>
      <c r="D21" s="245"/>
      <c r="E21" s="241"/>
      <c r="F21" s="245"/>
      <c r="G21" s="347">
        <f>+E19+E20</f>
        <v>635160382.53999996</v>
      </c>
      <c r="H21" s="348"/>
      <c r="I21" s="241"/>
      <c r="J21" s="245"/>
      <c r="K21" s="347">
        <f>+I19+I20</f>
        <v>557849772.69999993</v>
      </c>
      <c r="L21" s="241"/>
      <c r="M21" s="339">
        <f>IF(G21&gt;=K21,(G21-K21),0)</f>
        <v>77310609.840000033</v>
      </c>
      <c r="N21" s="251"/>
      <c r="O21" s="339">
        <f>IF(G21&lt;=K21,(K21-G21),0)</f>
        <v>0</v>
      </c>
      <c r="P21" s="251"/>
      <c r="Q21" s="341">
        <f>IF(M21,(M21/K21),IF(O21,-(O21/K21),0))</f>
        <v>0.13858679096670723</v>
      </c>
      <c r="R21" s="254"/>
    </row>
    <row r="22" spans="1:18" s="255" customFormat="1" x14ac:dyDescent="0.2">
      <c r="A22" s="340" t="s">
        <v>521</v>
      </c>
      <c r="B22" s="245"/>
      <c r="C22" s="988">
        <v>8</v>
      </c>
      <c r="D22" s="245"/>
      <c r="E22" s="241"/>
      <c r="F22" s="245"/>
      <c r="G22" s="250">
        <v>860482415.60000002</v>
      </c>
      <c r="H22" s="349"/>
      <c r="I22" s="241"/>
      <c r="J22" s="245"/>
      <c r="K22" s="250">
        <v>1827176686.55</v>
      </c>
      <c r="L22" s="241"/>
      <c r="M22" s="339">
        <f>IF(G22&gt;=K22,(G22-K22),0)</f>
        <v>0</v>
      </c>
      <c r="N22" s="251"/>
      <c r="O22" s="339">
        <f>IF(G22&lt;=K22,(K22-G22),0)</f>
        <v>966694270.94999993</v>
      </c>
      <c r="P22" s="251"/>
      <c r="Q22" s="341">
        <f>IF(M22,(M22/K22),IF(O22,-(O22/K22),0))</f>
        <v>-0.52906447311084748</v>
      </c>
      <c r="R22" s="254"/>
    </row>
    <row r="23" spans="1:18" s="304" customFormat="1" x14ac:dyDescent="0.2">
      <c r="A23" s="343" t="s">
        <v>2819</v>
      </c>
      <c r="B23" s="246"/>
      <c r="C23" s="989"/>
      <c r="D23" s="246"/>
      <c r="E23" s="241">
        <v>698049304.98000002</v>
      </c>
      <c r="F23" s="245"/>
      <c r="G23" s="328"/>
      <c r="H23" s="350"/>
      <c r="I23" s="241">
        <v>699496856.16999996</v>
      </c>
      <c r="J23" s="245"/>
      <c r="K23" s="328"/>
      <c r="L23" s="241"/>
      <c r="M23" s="339">
        <f>+IF((E23-I23)&gt;0,(E23-I23),0)</f>
        <v>0</v>
      </c>
      <c r="N23" s="251"/>
      <c r="O23" s="339">
        <f>+IF((E23-I23)&lt;0,(I23-E23),0)</f>
        <v>1447551.189999938</v>
      </c>
      <c r="P23" s="251"/>
      <c r="Q23" s="341">
        <f>+-O23/I23</f>
        <v>-2.069417721082848E-3</v>
      </c>
      <c r="R23" s="303"/>
    </row>
    <row r="24" spans="1:18" s="304" customFormat="1" ht="25.5" x14ac:dyDescent="0.2">
      <c r="A24" s="343" t="s">
        <v>3408</v>
      </c>
      <c r="B24" s="246"/>
      <c r="C24" s="989"/>
      <c r="D24" s="246"/>
      <c r="E24" s="344">
        <v>-7499000</v>
      </c>
      <c r="F24" s="245"/>
      <c r="G24" s="241"/>
      <c r="H24" s="338"/>
      <c r="I24" s="344">
        <v>-33208000</v>
      </c>
      <c r="J24" s="245"/>
      <c r="K24" s="241"/>
      <c r="L24" s="241"/>
      <c r="M24" s="345">
        <f>-+IF((E24-I24)*-1&gt;0,(E24-I24),0)</f>
        <v>0</v>
      </c>
      <c r="N24" s="345"/>
      <c r="O24" s="345">
        <f>+IF((E24-I24)*-1&lt;0,(E24-I24),0)</f>
        <v>25709000</v>
      </c>
      <c r="P24" s="345"/>
      <c r="Q24" s="346">
        <f>O24/I24</f>
        <v>-0.77418092026017826</v>
      </c>
      <c r="R24" s="303"/>
    </row>
    <row r="25" spans="1:18" s="255" customFormat="1" x14ac:dyDescent="0.2">
      <c r="A25" s="340" t="s">
        <v>2820</v>
      </c>
      <c r="B25" s="245"/>
      <c r="C25" s="988">
        <v>9</v>
      </c>
      <c r="D25" s="245"/>
      <c r="E25" s="241"/>
      <c r="F25" s="245"/>
      <c r="G25" s="347">
        <f>+E23+E24</f>
        <v>690550304.98000002</v>
      </c>
      <c r="H25" s="348"/>
      <c r="I25" s="241"/>
      <c r="J25" s="245"/>
      <c r="K25" s="347">
        <f>+I23+I24</f>
        <v>666288856.16999996</v>
      </c>
      <c r="L25" s="241"/>
      <c r="M25" s="339">
        <f>IF(G25&gt;=K25,(G25-K25),0)</f>
        <v>24261448.810000062</v>
      </c>
      <c r="N25" s="251"/>
      <c r="O25" s="339">
        <f>IF(G25&lt;=K25,(K25-G25),0)</f>
        <v>0</v>
      </c>
      <c r="P25" s="251"/>
      <c r="Q25" s="341">
        <f>IF(M25,(M25/K25),IF(O25,-(O25/K25),0))</f>
        <v>3.641280892713878E-2</v>
      </c>
      <c r="R25" s="254"/>
    </row>
    <row r="26" spans="1:18" s="255" customFormat="1" x14ac:dyDescent="0.2">
      <c r="A26" s="340" t="s">
        <v>2668</v>
      </c>
      <c r="B26" s="245"/>
      <c r="C26" s="988">
        <v>10</v>
      </c>
      <c r="D26" s="245"/>
      <c r="E26" s="241"/>
      <c r="F26" s="245"/>
      <c r="G26" s="241">
        <v>0</v>
      </c>
      <c r="H26" s="338"/>
      <c r="I26" s="241"/>
      <c r="J26" s="245"/>
      <c r="K26" s="241">
        <v>580151838.58000004</v>
      </c>
      <c r="L26" s="241"/>
      <c r="M26" s="339">
        <f>IF(G26&gt;=K26,(G26-K26),0)</f>
        <v>0</v>
      </c>
      <c r="N26" s="251"/>
      <c r="O26" s="339">
        <f>IF(G26&lt;=K26,(K26-G26),0)</f>
        <v>580151838.58000004</v>
      </c>
      <c r="P26" s="251"/>
      <c r="Q26" s="341">
        <f>IF(M26,(M26/K26),IF(O26,-(O26/K26),0))</f>
        <v>-1</v>
      </c>
      <c r="R26" s="254"/>
    </row>
    <row r="27" spans="1:18" s="255" customFormat="1" x14ac:dyDescent="0.2">
      <c r="A27" s="340" t="s">
        <v>469</v>
      </c>
      <c r="B27" s="245"/>
      <c r="C27" s="988">
        <v>11</v>
      </c>
      <c r="D27" s="245"/>
      <c r="E27" s="245"/>
      <c r="F27" s="245"/>
      <c r="G27" s="351">
        <v>697661122.15999997</v>
      </c>
      <c r="H27" s="338"/>
      <c r="I27" s="245"/>
      <c r="J27" s="245"/>
      <c r="K27" s="351">
        <v>696965262.77999997</v>
      </c>
      <c r="L27" s="241"/>
      <c r="M27" s="352">
        <f>IF(G27&gt;=K27,(G27-K27),0)</f>
        <v>695859.37999999523</v>
      </c>
      <c r="N27" s="251"/>
      <c r="O27" s="339">
        <f>IF(G27&lt;=K27,(K27-G27),0)</f>
        <v>0</v>
      </c>
      <c r="P27" s="251"/>
      <c r="Q27" s="353">
        <f>IF(M27,(M27/K27),IF(O27,-(O27/K27),0))</f>
        <v>9.9841328852517887E-4</v>
      </c>
      <c r="R27" s="254"/>
    </row>
    <row r="28" spans="1:18" s="255" customFormat="1" x14ac:dyDescent="0.2">
      <c r="A28" s="354" t="s">
        <v>4161</v>
      </c>
      <c r="B28" s="245"/>
      <c r="C28" s="988"/>
      <c r="D28" s="245"/>
      <c r="E28" s="245"/>
      <c r="F28" s="355"/>
      <c r="G28" s="356">
        <f>SUM(G13:G27)</f>
        <v>98390367663.940002</v>
      </c>
      <c r="H28" s="338"/>
      <c r="I28" s="245"/>
      <c r="J28" s="355"/>
      <c r="K28" s="356">
        <f>SUM(K13:K27)</f>
        <v>89230295842.440002</v>
      </c>
      <c r="L28" s="241"/>
      <c r="M28" s="356">
        <f>IF(G28&gt;=K28,(G28-K28),0)</f>
        <v>9160071821.5</v>
      </c>
      <c r="N28" s="357"/>
      <c r="O28" s="358">
        <f>IF(G28&lt;=K28,(K28-G28),0)</f>
        <v>0</v>
      </c>
      <c r="P28" s="359"/>
      <c r="Q28" s="360">
        <f>IF(M28,(M28/K28),IF(O28,-(O28/K28),0))</f>
        <v>0.10265652192473464</v>
      </c>
      <c r="R28" s="254"/>
    </row>
    <row r="29" spans="1:18" s="255" customFormat="1" x14ac:dyDescent="0.2">
      <c r="A29" s="340"/>
      <c r="B29" s="245"/>
      <c r="C29" s="988"/>
      <c r="D29" s="245"/>
      <c r="E29" s="245"/>
      <c r="F29" s="245"/>
      <c r="G29" s="241"/>
      <c r="H29" s="338"/>
      <c r="I29" s="245"/>
      <c r="J29" s="245"/>
      <c r="K29" s="241"/>
      <c r="L29" s="361"/>
      <c r="M29" s="339"/>
      <c r="N29" s="251"/>
      <c r="O29" s="362"/>
      <c r="P29" s="251"/>
      <c r="Q29" s="329"/>
      <c r="R29" s="254"/>
    </row>
    <row r="30" spans="1:18" s="255" customFormat="1" x14ac:dyDescent="0.2">
      <c r="A30" s="337" t="s">
        <v>4183</v>
      </c>
      <c r="B30" s="245"/>
      <c r="C30" s="988"/>
      <c r="D30" s="245"/>
      <c r="E30" s="245"/>
      <c r="F30" s="245"/>
      <c r="G30" s="241" t="s">
        <v>468</v>
      </c>
      <c r="H30" s="338"/>
      <c r="I30" s="245"/>
      <c r="J30" s="245"/>
      <c r="K30" s="241" t="s">
        <v>468</v>
      </c>
      <c r="L30" s="361"/>
      <c r="M30" s="339"/>
      <c r="N30" s="251"/>
      <c r="O30" s="339"/>
      <c r="P30" s="251"/>
      <c r="Q30" s="329"/>
      <c r="R30" s="254"/>
    </row>
    <row r="31" spans="1:18" s="255" customFormat="1" x14ac:dyDescent="0.2">
      <c r="A31" s="340" t="s">
        <v>4184</v>
      </c>
      <c r="B31" s="245"/>
      <c r="C31" s="988"/>
      <c r="D31" s="245"/>
      <c r="E31" s="245"/>
      <c r="F31" s="245"/>
      <c r="G31" s="241"/>
      <c r="H31" s="338"/>
      <c r="I31" s="245"/>
      <c r="J31" s="245"/>
      <c r="K31" s="241"/>
      <c r="L31" s="361"/>
      <c r="M31" s="339"/>
      <c r="N31" s="251"/>
      <c r="O31" s="339"/>
      <c r="P31" s="251"/>
      <c r="Q31" s="329"/>
      <c r="R31" s="254"/>
    </row>
    <row r="32" spans="1:18" s="304" customFormat="1" x14ac:dyDescent="0.2">
      <c r="A32" s="363" t="s">
        <v>2821</v>
      </c>
      <c r="B32" s="246"/>
      <c r="C32" s="989"/>
      <c r="D32" s="246"/>
      <c r="E32" s="364">
        <v>5559899754.7299995</v>
      </c>
      <c r="F32" s="245"/>
      <c r="G32" s="328"/>
      <c r="H32" s="350"/>
      <c r="I32" s="364">
        <v>5189224824.8500004</v>
      </c>
      <c r="J32" s="245"/>
      <c r="K32" s="328"/>
      <c r="L32" s="361"/>
      <c r="M32" s="339">
        <f>+E32-I32</f>
        <v>370674929.87999916</v>
      </c>
      <c r="N32" s="251"/>
      <c r="O32" s="339">
        <v>0</v>
      </c>
      <c r="P32" s="328"/>
      <c r="Q32" s="329">
        <f>+M32/I32</f>
        <v>7.1431657403803833E-2</v>
      </c>
      <c r="R32" s="303"/>
    </row>
    <row r="33" spans="1:18" s="304" customFormat="1" x14ac:dyDescent="0.2">
      <c r="A33" s="363" t="s">
        <v>2822</v>
      </c>
      <c r="B33" s="246"/>
      <c r="C33" s="989"/>
      <c r="D33" s="246"/>
      <c r="E33" s="364">
        <v>515202298.08999997</v>
      </c>
      <c r="F33" s="245"/>
      <c r="G33" s="328"/>
      <c r="H33" s="350"/>
      <c r="I33" s="364">
        <v>490947120.01999998</v>
      </c>
      <c r="J33" s="245"/>
      <c r="K33" s="328"/>
      <c r="L33" s="361"/>
      <c r="M33" s="339">
        <f t="shared" ref="M33:M52" si="0">+E33-I33</f>
        <v>24255178.069999993</v>
      </c>
      <c r="N33" s="251"/>
      <c r="O33" s="339">
        <v>0</v>
      </c>
      <c r="P33" s="251"/>
      <c r="Q33" s="329">
        <f>+M33/I33</f>
        <v>4.9404868835999885E-2</v>
      </c>
      <c r="R33" s="303"/>
    </row>
    <row r="34" spans="1:18" s="304" customFormat="1" x14ac:dyDescent="0.2">
      <c r="A34" s="363" t="s">
        <v>4185</v>
      </c>
      <c r="B34" s="246"/>
      <c r="C34" s="989"/>
      <c r="D34" s="246"/>
      <c r="E34" s="364">
        <v>35581539299.32</v>
      </c>
      <c r="F34" s="245"/>
      <c r="G34" s="328"/>
      <c r="H34" s="350"/>
      <c r="I34" s="364">
        <v>31416040191.48</v>
      </c>
      <c r="J34" s="245"/>
      <c r="K34" s="328"/>
      <c r="L34" s="361"/>
      <c r="M34" s="339">
        <f t="shared" si="0"/>
        <v>4165499107.8400002</v>
      </c>
      <c r="N34" s="251"/>
      <c r="O34" s="339">
        <v>0</v>
      </c>
      <c r="P34" s="328"/>
      <c r="Q34" s="329">
        <f t="shared" ref="Q34:Q39" si="1">+M34/I34</f>
        <v>0.13259147500612378</v>
      </c>
      <c r="R34" s="303"/>
    </row>
    <row r="35" spans="1:18" s="304" customFormat="1" x14ac:dyDescent="0.2">
      <c r="A35" s="363" t="s">
        <v>2823</v>
      </c>
      <c r="B35" s="246"/>
      <c r="C35" s="989"/>
      <c r="D35" s="246"/>
      <c r="E35" s="364">
        <v>16078434240.91</v>
      </c>
      <c r="F35" s="245"/>
      <c r="G35" s="328"/>
      <c r="H35" s="350"/>
      <c r="I35" s="364">
        <v>13296555073.1</v>
      </c>
      <c r="J35" s="245"/>
      <c r="K35" s="328"/>
      <c r="L35" s="361"/>
      <c r="M35" s="339">
        <f t="shared" si="0"/>
        <v>2781879167.8099995</v>
      </c>
      <c r="N35" s="251"/>
      <c r="O35" s="339">
        <v>0</v>
      </c>
      <c r="P35" s="328"/>
      <c r="Q35" s="329">
        <f t="shared" si="1"/>
        <v>0.20921803824495599</v>
      </c>
      <c r="R35" s="303"/>
    </row>
    <row r="36" spans="1:18" s="304" customFormat="1" x14ac:dyDescent="0.2">
      <c r="A36" s="363" t="s">
        <v>2824</v>
      </c>
      <c r="B36" s="246"/>
      <c r="C36" s="989"/>
      <c r="D36" s="246"/>
      <c r="E36" s="364">
        <v>5711779371.8900003</v>
      </c>
      <c r="F36" s="245"/>
      <c r="G36" s="328"/>
      <c r="H36" s="350"/>
      <c r="I36" s="364">
        <v>5421843587.1400003</v>
      </c>
      <c r="J36" s="245"/>
      <c r="K36" s="328"/>
      <c r="L36" s="361"/>
      <c r="M36" s="339">
        <f t="shared" si="0"/>
        <v>289935784.75</v>
      </c>
      <c r="N36" s="251"/>
      <c r="O36" s="339">
        <v>0</v>
      </c>
      <c r="P36" s="328"/>
      <c r="Q36" s="329">
        <f t="shared" si="1"/>
        <v>5.3475497787817947E-2</v>
      </c>
      <c r="R36" s="303"/>
    </row>
    <row r="37" spans="1:18" s="304" customFormat="1" x14ac:dyDescent="0.2">
      <c r="A37" s="363" t="s">
        <v>2825</v>
      </c>
      <c r="B37" s="246"/>
      <c r="C37" s="989"/>
      <c r="D37" s="246"/>
      <c r="E37" s="364">
        <v>5600316897.6300001</v>
      </c>
      <c r="F37" s="245"/>
      <c r="G37" s="328"/>
      <c r="H37" s="350"/>
      <c r="I37" s="364">
        <v>4939542981.3800001</v>
      </c>
      <c r="J37" s="245"/>
      <c r="K37" s="328"/>
      <c r="L37" s="361"/>
      <c r="M37" s="339">
        <f t="shared" si="0"/>
        <v>660773916.25</v>
      </c>
      <c r="N37" s="251"/>
      <c r="O37" s="339">
        <v>0</v>
      </c>
      <c r="P37" s="328"/>
      <c r="Q37" s="329">
        <f t="shared" si="1"/>
        <v>0.13377227786879065</v>
      </c>
      <c r="R37" s="303"/>
    </row>
    <row r="38" spans="1:18" s="304" customFormat="1" x14ac:dyDescent="0.2">
      <c r="A38" s="363" t="s">
        <v>2826</v>
      </c>
      <c r="B38" s="246"/>
      <c r="C38" s="989"/>
      <c r="D38" s="246"/>
      <c r="E38" s="364">
        <v>2194754790</v>
      </c>
      <c r="F38" s="245"/>
      <c r="G38" s="328"/>
      <c r="H38" s="350"/>
      <c r="I38" s="364">
        <v>2034956317.03</v>
      </c>
      <c r="J38" s="245"/>
      <c r="K38" s="328"/>
      <c r="L38" s="361"/>
      <c r="M38" s="339">
        <f t="shared" si="0"/>
        <v>159798472.97000003</v>
      </c>
      <c r="N38" s="251"/>
      <c r="O38" s="339">
        <v>0</v>
      </c>
      <c r="P38" s="328"/>
      <c r="Q38" s="329">
        <f t="shared" si="1"/>
        <v>7.8526733784253622E-2</v>
      </c>
      <c r="R38" s="303"/>
    </row>
    <row r="39" spans="1:18" s="304" customFormat="1" x14ac:dyDescent="0.2">
      <c r="A39" s="363" t="s">
        <v>2827</v>
      </c>
      <c r="B39" s="246"/>
      <c r="C39" s="989"/>
      <c r="D39" s="246"/>
      <c r="E39" s="364">
        <v>2078184710.8199999</v>
      </c>
      <c r="F39" s="245"/>
      <c r="G39" s="328"/>
      <c r="H39" s="350"/>
      <c r="I39" s="364">
        <v>1814597900.55</v>
      </c>
      <c r="J39" s="245"/>
      <c r="K39" s="328"/>
      <c r="L39" s="361"/>
      <c r="M39" s="339">
        <f t="shared" si="0"/>
        <v>263586810.26999998</v>
      </c>
      <c r="N39" s="251"/>
      <c r="O39" s="339">
        <v>0</v>
      </c>
      <c r="P39" s="328"/>
      <c r="Q39" s="329">
        <f t="shared" si="1"/>
        <v>0.14525907375408487</v>
      </c>
      <c r="R39" s="303"/>
    </row>
    <row r="40" spans="1:18" s="304" customFormat="1" x14ac:dyDescent="0.2">
      <c r="A40" s="363" t="s">
        <v>2828</v>
      </c>
      <c r="B40" s="246"/>
      <c r="C40" s="989"/>
      <c r="D40" s="246"/>
      <c r="E40" s="364">
        <v>0</v>
      </c>
      <c r="F40" s="245"/>
      <c r="G40" s="328"/>
      <c r="H40" s="350"/>
      <c r="I40" s="364">
        <v>4203800</v>
      </c>
      <c r="J40" s="245"/>
      <c r="K40" s="328"/>
      <c r="L40" s="361"/>
      <c r="M40" s="339">
        <v>0</v>
      </c>
      <c r="N40" s="251"/>
      <c r="O40" s="339">
        <f>+I40-E40</f>
        <v>4203800</v>
      </c>
      <c r="P40" s="328"/>
      <c r="Q40" s="329">
        <f>+-O40/I40</f>
        <v>-1</v>
      </c>
      <c r="R40" s="303"/>
    </row>
    <row r="41" spans="1:18" s="304" customFormat="1" x14ac:dyDescent="0.2">
      <c r="A41" s="363" t="s">
        <v>2829</v>
      </c>
      <c r="B41" s="246"/>
      <c r="C41" s="989"/>
      <c r="D41" s="246"/>
      <c r="E41" s="364">
        <v>372343752.55000001</v>
      </c>
      <c r="F41" s="245"/>
      <c r="G41" s="328"/>
      <c r="H41" s="350"/>
      <c r="I41" s="364">
        <v>414376109.94999999</v>
      </c>
      <c r="J41" s="245"/>
      <c r="K41" s="328"/>
      <c r="L41" s="361"/>
      <c r="M41" s="339">
        <v>0</v>
      </c>
      <c r="N41" s="251"/>
      <c r="O41" s="339">
        <f>+I41-E41</f>
        <v>42032357.399999976</v>
      </c>
      <c r="P41" s="328"/>
      <c r="Q41" s="329">
        <f>+-O41/I41</f>
        <v>-0.10143528159736752</v>
      </c>
      <c r="R41" s="303"/>
    </row>
    <row r="42" spans="1:18" s="304" customFormat="1" x14ac:dyDescent="0.2">
      <c r="A42" s="363" t="s">
        <v>2830</v>
      </c>
      <c r="B42" s="246"/>
      <c r="C42" s="989"/>
      <c r="D42" s="246"/>
      <c r="E42" s="364">
        <v>818956833.20000005</v>
      </c>
      <c r="F42" s="245"/>
      <c r="G42" s="328"/>
      <c r="H42" s="350"/>
      <c r="I42" s="364">
        <v>743758434.30999994</v>
      </c>
      <c r="J42" s="245"/>
      <c r="K42" s="328"/>
      <c r="L42" s="361"/>
      <c r="M42" s="339">
        <f t="shared" si="0"/>
        <v>75198398.890000105</v>
      </c>
      <c r="N42" s="251"/>
      <c r="O42" s="339">
        <v>0</v>
      </c>
      <c r="P42" s="328"/>
      <c r="Q42" s="329">
        <f t="shared" ref="Q42:Q43" si="2">+M42/I42</f>
        <v>0.10110594437797968</v>
      </c>
      <c r="R42" s="303"/>
    </row>
    <row r="43" spans="1:18" s="304" customFormat="1" x14ac:dyDescent="0.2">
      <c r="A43" s="363" t="s">
        <v>2831</v>
      </c>
      <c r="B43" s="246"/>
      <c r="C43" s="989"/>
      <c r="D43" s="246"/>
      <c r="E43" s="364">
        <v>159365996.94999999</v>
      </c>
      <c r="F43" s="245"/>
      <c r="G43" s="328"/>
      <c r="H43" s="350"/>
      <c r="I43" s="364">
        <v>158223974.55000001</v>
      </c>
      <c r="J43" s="245"/>
      <c r="K43" s="328"/>
      <c r="L43" s="361"/>
      <c r="M43" s="339">
        <f t="shared" si="0"/>
        <v>1142022.3999999762</v>
      </c>
      <c r="N43" s="251"/>
      <c r="O43" s="339">
        <v>0</v>
      </c>
      <c r="P43" s="328"/>
      <c r="Q43" s="329">
        <f t="shared" si="2"/>
        <v>7.2177582648139593E-3</v>
      </c>
      <c r="R43" s="303"/>
    </row>
    <row r="44" spans="1:18" s="304" customFormat="1" x14ac:dyDescent="0.2">
      <c r="A44" s="363" t="s">
        <v>2832</v>
      </c>
      <c r="B44" s="246"/>
      <c r="C44" s="989"/>
      <c r="D44" s="246"/>
      <c r="E44" s="364">
        <v>525839805.70999998</v>
      </c>
      <c r="F44" s="245"/>
      <c r="G44" s="328"/>
      <c r="H44" s="350"/>
      <c r="I44" s="364">
        <v>543698891.94000006</v>
      </c>
      <c r="J44" s="245"/>
      <c r="K44" s="328"/>
      <c r="L44" s="361"/>
      <c r="M44" s="339">
        <v>0</v>
      </c>
      <c r="N44" s="251"/>
      <c r="O44" s="339">
        <f>+I44-E44</f>
        <v>17859086.230000079</v>
      </c>
      <c r="P44" s="328"/>
      <c r="Q44" s="329">
        <f>+-O44/I44</f>
        <v>-3.2847383900813466E-2</v>
      </c>
      <c r="R44" s="303"/>
    </row>
    <row r="45" spans="1:18" s="304" customFormat="1" x14ac:dyDescent="0.2">
      <c r="A45" s="363" t="s">
        <v>2833</v>
      </c>
      <c r="B45" s="246"/>
      <c r="C45" s="989"/>
      <c r="D45" s="246"/>
      <c r="E45" s="364">
        <v>300562503.68000001</v>
      </c>
      <c r="F45" s="245"/>
      <c r="G45" s="328"/>
      <c r="H45" s="350"/>
      <c r="I45" s="364">
        <v>302791277.57999998</v>
      </c>
      <c r="J45" s="245"/>
      <c r="K45" s="328"/>
      <c r="L45" s="361"/>
      <c r="M45" s="339">
        <v>0</v>
      </c>
      <c r="N45" s="251"/>
      <c r="O45" s="339">
        <f>+I45-E45</f>
        <v>2228773.8999999762</v>
      </c>
      <c r="P45" s="328"/>
      <c r="Q45" s="329">
        <f>+-O45/I45</f>
        <v>-7.3607599195492524E-3</v>
      </c>
      <c r="R45" s="303"/>
    </row>
    <row r="46" spans="1:18" s="304" customFormat="1" x14ac:dyDescent="0.2">
      <c r="A46" s="363" t="s">
        <v>2834</v>
      </c>
      <c r="B46" s="246"/>
      <c r="C46" s="989"/>
      <c r="D46" s="246"/>
      <c r="E46" s="364">
        <v>1639240816.6400001</v>
      </c>
      <c r="F46" s="245"/>
      <c r="G46" s="328"/>
      <c r="H46" s="350"/>
      <c r="I46" s="364">
        <v>1495542367.5599999</v>
      </c>
      <c r="J46" s="245"/>
      <c r="K46" s="328"/>
      <c r="L46" s="361"/>
      <c r="M46" s="339">
        <f t="shared" si="0"/>
        <v>143698449.08000016</v>
      </c>
      <c r="N46" s="251"/>
      <c r="O46" s="339">
        <v>0</v>
      </c>
      <c r="P46" s="328"/>
      <c r="Q46" s="329">
        <f t="shared" ref="Q46:Q52" si="3">+M46/I46</f>
        <v>9.6084505659606523E-2</v>
      </c>
      <c r="R46" s="303"/>
    </row>
    <row r="47" spans="1:18" s="304" customFormat="1" x14ac:dyDescent="0.2">
      <c r="A47" s="363" t="s">
        <v>3409</v>
      </c>
      <c r="B47" s="246"/>
      <c r="C47" s="989"/>
      <c r="D47" s="246"/>
      <c r="E47" s="364">
        <v>340004900</v>
      </c>
      <c r="F47" s="245"/>
      <c r="G47" s="328"/>
      <c r="H47" s="350"/>
      <c r="I47" s="364">
        <v>353721900</v>
      </c>
      <c r="J47" s="245"/>
      <c r="K47" s="328"/>
      <c r="L47" s="361"/>
      <c r="M47" s="339">
        <v>0</v>
      </c>
      <c r="N47" s="251"/>
      <c r="O47" s="339">
        <f>+I47-E47</f>
        <v>13717000</v>
      </c>
      <c r="P47" s="328"/>
      <c r="Q47" s="329">
        <f>+-O47/I47</f>
        <v>-3.8779052131066805E-2</v>
      </c>
      <c r="R47" s="303"/>
    </row>
    <row r="48" spans="1:18" s="304" customFormat="1" x14ac:dyDescent="0.2">
      <c r="A48" s="363" t="s">
        <v>2835</v>
      </c>
      <c r="B48" s="246"/>
      <c r="C48" s="989"/>
      <c r="D48" s="246"/>
      <c r="E48" s="364">
        <v>20337140150.18</v>
      </c>
      <c r="F48" s="245"/>
      <c r="G48" s="328"/>
      <c r="H48" s="350"/>
      <c r="I48" s="364">
        <v>18859638654.5</v>
      </c>
      <c r="J48" s="245"/>
      <c r="K48" s="328"/>
      <c r="L48" s="361"/>
      <c r="M48" s="339">
        <f t="shared" si="0"/>
        <v>1477501495.6800003</v>
      </c>
      <c r="N48" s="251"/>
      <c r="O48" s="339">
        <v>0</v>
      </c>
      <c r="P48" s="328"/>
      <c r="Q48" s="329">
        <f t="shared" si="3"/>
        <v>7.8341983255732286E-2</v>
      </c>
      <c r="R48" s="303"/>
    </row>
    <row r="49" spans="1:18" s="304" customFormat="1" x14ac:dyDescent="0.2">
      <c r="A49" s="363" t="s">
        <v>2836</v>
      </c>
      <c r="B49" s="246"/>
      <c r="C49" s="989"/>
      <c r="D49" s="246"/>
      <c r="E49" s="364">
        <v>107169614.94</v>
      </c>
      <c r="F49" s="245"/>
      <c r="G49" s="328"/>
      <c r="H49" s="350"/>
      <c r="I49" s="364">
        <v>104009288.94</v>
      </c>
      <c r="J49" s="245"/>
      <c r="K49" s="328"/>
      <c r="L49" s="361"/>
      <c r="M49" s="339">
        <f t="shared" si="0"/>
        <v>3160326</v>
      </c>
      <c r="N49" s="251"/>
      <c r="O49" s="339">
        <v>0</v>
      </c>
      <c r="P49" s="328"/>
      <c r="Q49" s="329">
        <f t="shared" si="3"/>
        <v>3.0385036107910539E-2</v>
      </c>
      <c r="R49" s="303"/>
    </row>
    <row r="50" spans="1:18" s="304" customFormat="1" x14ac:dyDescent="0.2">
      <c r="A50" s="363" t="s">
        <v>67</v>
      </c>
      <c r="B50" s="246"/>
      <c r="C50" s="989"/>
      <c r="D50" s="246"/>
      <c r="E50" s="364">
        <v>676110667.73000002</v>
      </c>
      <c r="F50" s="245"/>
      <c r="G50" s="328"/>
      <c r="H50" s="350"/>
      <c r="I50" s="364">
        <v>647895046.42999995</v>
      </c>
      <c r="J50" s="245"/>
      <c r="K50" s="328"/>
      <c r="L50" s="361"/>
      <c r="M50" s="339">
        <f t="shared" si="0"/>
        <v>28215621.300000072</v>
      </c>
      <c r="N50" s="251"/>
      <c r="O50" s="339">
        <v>0</v>
      </c>
      <c r="P50" s="328"/>
      <c r="Q50" s="329">
        <f t="shared" si="3"/>
        <v>4.3549679003524459E-2</v>
      </c>
      <c r="R50" s="303"/>
    </row>
    <row r="51" spans="1:18" s="304" customFormat="1" x14ac:dyDescent="0.2">
      <c r="A51" s="365" t="s">
        <v>2837</v>
      </c>
      <c r="B51" s="246"/>
      <c r="C51" s="989"/>
      <c r="D51" s="246"/>
      <c r="E51" s="364">
        <v>23291366.09</v>
      </c>
      <c r="F51" s="245"/>
      <c r="G51" s="328"/>
      <c r="H51" s="350"/>
      <c r="I51" s="364">
        <v>22963224.489999998</v>
      </c>
      <c r="J51" s="245"/>
      <c r="K51" s="328"/>
      <c r="L51" s="361"/>
      <c r="M51" s="339">
        <f t="shared" si="0"/>
        <v>328141.60000000149</v>
      </c>
      <c r="N51" s="251"/>
      <c r="O51" s="339">
        <v>0</v>
      </c>
      <c r="P51" s="328"/>
      <c r="Q51" s="329">
        <f t="shared" si="3"/>
        <v>1.4289874670819869E-2</v>
      </c>
      <c r="R51" s="303"/>
    </row>
    <row r="52" spans="1:18" s="304" customFormat="1" x14ac:dyDescent="0.2">
      <c r="A52" s="365" t="s">
        <v>1047</v>
      </c>
      <c r="B52" s="246"/>
      <c r="C52" s="989"/>
      <c r="D52" s="246"/>
      <c r="E52" s="366">
        <v>6147107258.8400002</v>
      </c>
      <c r="F52" s="245"/>
      <c r="G52" s="328"/>
      <c r="H52" s="350"/>
      <c r="I52" s="366">
        <v>5607178093.3100004</v>
      </c>
      <c r="J52" s="245"/>
      <c r="K52" s="328"/>
      <c r="L52" s="361"/>
      <c r="M52" s="352">
        <f t="shared" si="0"/>
        <v>539929165.52999973</v>
      </c>
      <c r="N52" s="251"/>
      <c r="O52" s="352">
        <v>0</v>
      </c>
      <c r="P52" s="328"/>
      <c r="Q52" s="353">
        <f t="shared" si="3"/>
        <v>9.6292494467795933E-2</v>
      </c>
      <c r="R52" s="303"/>
    </row>
    <row r="53" spans="1:18" s="304" customFormat="1" x14ac:dyDescent="0.2">
      <c r="A53" s="365" t="s">
        <v>3410</v>
      </c>
      <c r="B53" s="247"/>
      <c r="C53" s="989"/>
      <c r="D53" s="247"/>
      <c r="E53" s="367">
        <f>SUM(E32:E52)</f>
        <v>104767245029.90001</v>
      </c>
      <c r="F53" s="248"/>
      <c r="G53" s="368"/>
      <c r="H53" s="369"/>
      <c r="I53" s="367">
        <f>SUM(I32:I52)</f>
        <v>93861709059.110001</v>
      </c>
      <c r="J53" s="248"/>
      <c r="K53" s="368"/>
      <c r="L53" s="370"/>
      <c r="M53" s="339">
        <f>+IF((E53-I53)&gt;0,(E53-I53),0)</f>
        <v>10905535970.790009</v>
      </c>
      <c r="N53" s="251"/>
      <c r="O53" s="339">
        <f>+IF((E53-I53)&lt;0,(E53-I53),0)</f>
        <v>0</v>
      </c>
      <c r="P53" s="251"/>
      <c r="Q53" s="341">
        <f>+M53/I53</f>
        <v>0.11618727253221203</v>
      </c>
      <c r="R53" s="303"/>
    </row>
    <row r="54" spans="1:18" s="304" customFormat="1" x14ac:dyDescent="0.2">
      <c r="A54" s="365" t="s">
        <v>2838</v>
      </c>
      <c r="B54" s="246"/>
      <c r="C54" s="989"/>
      <c r="D54" s="246"/>
      <c r="E54" s="371">
        <v>-55479559327.209999</v>
      </c>
      <c r="F54" s="245"/>
      <c r="G54" s="372"/>
      <c r="H54" s="369"/>
      <c r="I54" s="371">
        <v>-47913528727.260002</v>
      </c>
      <c r="J54" s="245"/>
      <c r="K54" s="372"/>
      <c r="L54" s="370"/>
      <c r="M54" s="373">
        <f>-+IF((E54-I54)*-1&gt;0,(E54-I54),0)</f>
        <v>7566030599.9499969</v>
      </c>
      <c r="N54" s="345"/>
      <c r="O54" s="373">
        <f>+IF((E54-I54)*-1&lt;0,(E54-I54),0)</f>
        <v>0</v>
      </c>
      <c r="P54" s="345"/>
      <c r="Q54" s="374">
        <f>-M54/I54</f>
        <v>0.15791011016989376</v>
      </c>
      <c r="R54" s="303"/>
    </row>
    <row r="55" spans="1:18" s="255" customFormat="1" x14ac:dyDescent="0.2">
      <c r="A55" s="375" t="s">
        <v>3411</v>
      </c>
      <c r="B55" s="248"/>
      <c r="C55" s="988">
        <v>12</v>
      </c>
      <c r="D55" s="248"/>
      <c r="E55" s="248"/>
      <c r="F55" s="248"/>
      <c r="G55" s="368">
        <f>E53+E54</f>
        <v>49287685702.69001</v>
      </c>
      <c r="H55" s="369"/>
      <c r="I55" s="248"/>
      <c r="J55" s="248"/>
      <c r="K55" s="368">
        <f>I53+I54</f>
        <v>45948180331.849998</v>
      </c>
      <c r="L55" s="370"/>
      <c r="M55" s="362">
        <f>IF(G55&gt;=K55,(G55-K55),0)</f>
        <v>3339505370.8400116</v>
      </c>
      <c r="N55" s="376"/>
      <c r="O55" s="362">
        <f>IF(G55&lt;=K55,(K55-G55),0)</f>
        <v>0</v>
      </c>
      <c r="P55" s="376"/>
      <c r="Q55" s="341">
        <f>IF(M55,(M55/K55),IF(O55,-(O55/K55),0))</f>
        <v>7.2679817714678019E-2</v>
      </c>
      <c r="R55" s="254"/>
    </row>
    <row r="56" spans="1:18" s="304" customFormat="1" x14ac:dyDescent="0.2">
      <c r="A56" s="365" t="s">
        <v>470</v>
      </c>
      <c r="B56" s="246"/>
      <c r="C56" s="989"/>
      <c r="D56" s="246"/>
      <c r="E56" s="241">
        <v>3105859646.1300001</v>
      </c>
      <c r="F56" s="245"/>
      <c r="G56" s="372"/>
      <c r="H56" s="350"/>
      <c r="I56" s="241">
        <v>2989633905.0799999</v>
      </c>
      <c r="J56" s="245"/>
      <c r="K56" s="372"/>
      <c r="L56" s="377"/>
      <c r="M56" s="339">
        <f>+IF((E56-I56)&gt;0,(E56-I56),0)</f>
        <v>116225741.05000019</v>
      </c>
      <c r="N56" s="251"/>
      <c r="O56" s="339">
        <f>+IF((E56-I56)&lt;0,(E56-I56),0)</f>
        <v>0</v>
      </c>
      <c r="P56" s="251"/>
      <c r="Q56" s="341">
        <f>+M56/I56</f>
        <v>3.8876245299636479E-2</v>
      </c>
      <c r="R56" s="303"/>
    </row>
    <row r="57" spans="1:18" s="304" customFormat="1" x14ac:dyDescent="0.2">
      <c r="A57" s="365" t="s">
        <v>2838</v>
      </c>
      <c r="B57" s="246"/>
      <c r="C57" s="989"/>
      <c r="D57" s="246"/>
      <c r="E57" s="371">
        <v>-1997009295.3499999</v>
      </c>
      <c r="F57" s="245"/>
      <c r="G57" s="372"/>
      <c r="H57" s="350"/>
      <c r="I57" s="371">
        <v>-1779544768.0599999</v>
      </c>
      <c r="J57" s="245"/>
      <c r="K57" s="372"/>
      <c r="L57" s="342"/>
      <c r="M57" s="373">
        <f>-+IF((E57-I57)*-1&gt;0,(E57-I57),0)</f>
        <v>217464527.28999996</v>
      </c>
      <c r="N57" s="345"/>
      <c r="O57" s="373">
        <f>+IF((E57-I57)*-1&lt;0,(E57-I57),0)</f>
        <v>0</v>
      </c>
      <c r="P57" s="345"/>
      <c r="Q57" s="374">
        <f>-M57/I57</f>
        <v>0.1222023357844897</v>
      </c>
      <c r="R57" s="303"/>
    </row>
    <row r="58" spans="1:18" s="255" customFormat="1" x14ac:dyDescent="0.2">
      <c r="A58" s="375" t="s">
        <v>2839</v>
      </c>
      <c r="B58" s="248"/>
      <c r="C58" s="988">
        <v>12</v>
      </c>
      <c r="D58" s="248"/>
      <c r="E58" s="248"/>
      <c r="F58" s="248"/>
      <c r="G58" s="368">
        <f>+E56+E57</f>
        <v>1108850350.7800002</v>
      </c>
      <c r="H58" s="369"/>
      <c r="I58" s="248"/>
      <c r="J58" s="248"/>
      <c r="K58" s="368">
        <f>+I56+I57</f>
        <v>1210089137.02</v>
      </c>
      <c r="L58" s="342"/>
      <c r="M58" s="362">
        <f>IF(G58&gt;=K58,(G58-K58),0)</f>
        <v>0</v>
      </c>
      <c r="N58" s="376"/>
      <c r="O58" s="362">
        <f>IF(G58&lt;=K58,(K58-G58),0)</f>
        <v>101238786.23999977</v>
      </c>
      <c r="P58" s="376"/>
      <c r="Q58" s="341">
        <f>IF(M58,(M58/K58),IF(O58,-(O58/K58),0))</f>
        <v>-8.3662255236265734E-2</v>
      </c>
      <c r="R58" s="254"/>
    </row>
    <row r="59" spans="1:18" s="304" customFormat="1" x14ac:dyDescent="0.2">
      <c r="A59" s="365" t="s">
        <v>471</v>
      </c>
      <c r="B59" s="246"/>
      <c r="C59" s="989"/>
      <c r="D59" s="246"/>
      <c r="E59" s="241">
        <v>54076672685.940002</v>
      </c>
      <c r="F59" s="245"/>
      <c r="G59" s="328"/>
      <c r="H59" s="350"/>
      <c r="I59" s="241">
        <v>48569957106.879997</v>
      </c>
      <c r="J59" s="245"/>
      <c r="K59" s="328"/>
      <c r="L59" s="342"/>
      <c r="M59" s="339">
        <f>+IF((E59-I59)&gt;0,(E59-I59),0)</f>
        <v>5506715579.0600052</v>
      </c>
      <c r="N59" s="251"/>
      <c r="O59" s="339">
        <f>+IF((E59-I59)&lt;0,(E59-I59),0)</f>
        <v>0</v>
      </c>
      <c r="P59" s="251"/>
      <c r="Q59" s="341">
        <f>+M59/I59</f>
        <v>0.11337699077934685</v>
      </c>
      <c r="R59" s="303"/>
    </row>
    <row r="60" spans="1:18" s="304" customFormat="1" x14ac:dyDescent="0.2">
      <c r="A60" s="365" t="s">
        <v>2840</v>
      </c>
      <c r="B60" s="246"/>
      <c r="C60" s="989"/>
      <c r="D60" s="246"/>
      <c r="E60" s="371">
        <v>-7444024196.4200001</v>
      </c>
      <c r="F60" s="245"/>
      <c r="G60" s="328"/>
      <c r="H60" s="350"/>
      <c r="I60" s="371">
        <v>-6400140104.3800001</v>
      </c>
      <c r="J60" s="245"/>
      <c r="K60" s="328"/>
      <c r="L60" s="342"/>
      <c r="M60" s="373">
        <f>-+IF((E60-I60)*-1&gt;0,(E60-I60),0)</f>
        <v>1043884092.04</v>
      </c>
      <c r="N60" s="345"/>
      <c r="O60" s="373">
        <f>+IF((E60-I60)*-1&lt;0,(E60-I60),0)</f>
        <v>0</v>
      </c>
      <c r="P60" s="345"/>
      <c r="Q60" s="374">
        <f>-M60/I60</f>
        <v>0.16310331883603726</v>
      </c>
      <c r="R60" s="303"/>
    </row>
    <row r="61" spans="1:18" s="255" customFormat="1" x14ac:dyDescent="0.2">
      <c r="A61" s="375" t="s">
        <v>2841</v>
      </c>
      <c r="B61" s="248"/>
      <c r="C61" s="988">
        <v>12</v>
      </c>
      <c r="D61" s="248"/>
      <c r="E61" s="248"/>
      <c r="F61" s="248"/>
      <c r="G61" s="368">
        <f>(E59+E60)</f>
        <v>46632648489.520004</v>
      </c>
      <c r="H61" s="368"/>
      <c r="I61" s="248"/>
      <c r="J61" s="248"/>
      <c r="K61" s="368">
        <f>(I59+I60)</f>
        <v>42169817002.5</v>
      </c>
      <c r="L61" s="377"/>
      <c r="M61" s="362">
        <f>IF(G61&gt;=K61,(G61-K61),0)</f>
        <v>4462831487.0200043</v>
      </c>
      <c r="N61" s="376"/>
      <c r="O61" s="362">
        <f>IF(G61&lt;=K61,(K61-G61),0)</f>
        <v>0</v>
      </c>
      <c r="P61" s="376"/>
      <c r="Q61" s="341">
        <f>IF(M61,(M61/K61),IF(O61,-(O61/K61),0))</f>
        <v>0.10582999415803558</v>
      </c>
      <c r="R61" s="254"/>
    </row>
    <row r="62" spans="1:18" s="255" customFormat="1" x14ac:dyDescent="0.2">
      <c r="A62" s="375" t="s">
        <v>472</v>
      </c>
      <c r="B62" s="248"/>
      <c r="C62" s="988">
        <v>12</v>
      </c>
      <c r="D62" s="248"/>
      <c r="E62" s="248"/>
      <c r="F62" s="248"/>
      <c r="G62" s="368">
        <v>8663706166.5100002</v>
      </c>
      <c r="H62" s="368"/>
      <c r="I62" s="248"/>
      <c r="J62" s="248"/>
      <c r="K62" s="368">
        <v>8663706166.5100002</v>
      </c>
      <c r="L62" s="377"/>
      <c r="M62" s="362">
        <f>IF(G62&gt;=K62,(G62-K62),0)</f>
        <v>0</v>
      </c>
      <c r="N62" s="376"/>
      <c r="O62" s="362">
        <f>IF(G62&lt;=K62,(K62-G62),0)</f>
        <v>0</v>
      </c>
      <c r="P62" s="376"/>
      <c r="Q62" s="341">
        <f>IF(M62,(M62/K62),IF(O62,-(O62/K62),0))</f>
        <v>0</v>
      </c>
      <c r="R62" s="254"/>
    </row>
    <row r="63" spans="1:18" x14ac:dyDescent="0.2">
      <c r="A63" s="378" t="s">
        <v>2842</v>
      </c>
      <c r="B63" s="248"/>
      <c r="C63" s="988">
        <v>12</v>
      </c>
      <c r="D63" s="248"/>
      <c r="E63" s="248"/>
      <c r="F63" s="248"/>
      <c r="G63" s="379">
        <v>8441850950.5500002</v>
      </c>
      <c r="H63" s="338"/>
      <c r="I63" s="248"/>
      <c r="J63" s="248"/>
      <c r="K63" s="379">
        <v>4071950568.9499998</v>
      </c>
      <c r="L63" s="377"/>
      <c r="M63" s="362">
        <f>IF(G63&gt;=K63,(G63-K63),0)</f>
        <v>4369900381.6000004</v>
      </c>
      <c r="N63" s="376"/>
      <c r="O63" s="362">
        <f>IF(G63&lt;=K63,(K63-G63),0)</f>
        <v>0</v>
      </c>
      <c r="P63" s="376"/>
      <c r="Q63" s="341">
        <f>IF(M63,(M63/K63),IF(O63,-(O63/K63),0))</f>
        <v>1.0731712744555322</v>
      </c>
    </row>
    <row r="64" spans="1:18" x14ac:dyDescent="0.2">
      <c r="A64" s="378" t="s">
        <v>4186</v>
      </c>
      <c r="B64" s="248"/>
      <c r="C64" s="988">
        <v>13</v>
      </c>
      <c r="D64" s="248"/>
      <c r="E64" s="248"/>
      <c r="F64" s="248"/>
      <c r="G64" s="379">
        <v>5540940302.25</v>
      </c>
      <c r="H64" s="338"/>
      <c r="I64" s="248"/>
      <c r="J64" s="248"/>
      <c r="K64" s="379">
        <v>0</v>
      </c>
      <c r="L64" s="377"/>
      <c r="M64" s="352">
        <f>IF(G64&gt;=K64,(G64-K64),0)</f>
        <v>5540940302.25</v>
      </c>
      <c r="N64" s="376"/>
      <c r="O64" s="352">
        <f>IF(G64&lt;=K64,(K64-G64),0)</f>
        <v>0</v>
      </c>
      <c r="P64" s="376"/>
      <c r="Q64" s="353">
        <f>+M64/G64</f>
        <v>1</v>
      </c>
    </row>
    <row r="65" spans="1:18" x14ac:dyDescent="0.2">
      <c r="A65" s="354" t="s">
        <v>4182</v>
      </c>
      <c r="B65" s="245"/>
      <c r="C65" s="988"/>
      <c r="D65" s="245"/>
      <c r="E65" s="245"/>
      <c r="F65" s="245"/>
      <c r="G65" s="356">
        <f>+G55+G63+G58+G61+G62+G64</f>
        <v>119675681962.3</v>
      </c>
      <c r="H65" s="380"/>
      <c r="I65" s="245"/>
      <c r="J65" s="245"/>
      <c r="K65" s="356">
        <f>+K55+K63+K58+K61+K62</f>
        <v>102063743206.82999</v>
      </c>
      <c r="L65" s="241"/>
      <c r="M65" s="381">
        <f>IF(G65&gt;=K65,(G65-K65),0)</f>
        <v>17611938755.470016</v>
      </c>
      <c r="N65" s="376"/>
      <c r="O65" s="381">
        <f>IF(G65&lt;=K65,(K65-G65),0)</f>
        <v>0</v>
      </c>
      <c r="P65" s="376"/>
      <c r="Q65" s="382">
        <f>IF(M65,(M65/K65),IF(O65,-(O65/K65),0))</f>
        <v>0.17255822882940713</v>
      </c>
    </row>
    <row r="66" spans="1:18" s="255" customFormat="1" x14ac:dyDescent="0.2">
      <c r="A66" s="337"/>
      <c r="B66" s="252"/>
      <c r="C66" s="249"/>
      <c r="D66" s="252"/>
      <c r="E66" s="252"/>
      <c r="F66" s="252"/>
      <c r="G66" s="253"/>
      <c r="H66" s="253"/>
      <c r="I66" s="253"/>
      <c r="J66" s="253"/>
      <c r="K66" s="253"/>
      <c r="L66" s="253"/>
      <c r="M66" s="253"/>
      <c r="N66" s="253"/>
      <c r="O66" s="253"/>
      <c r="P66" s="253"/>
      <c r="Q66" s="318"/>
      <c r="R66" s="254"/>
    </row>
    <row r="67" spans="1:18" s="255" customFormat="1" x14ac:dyDescent="0.2">
      <c r="A67" s="337"/>
      <c r="B67" s="252"/>
      <c r="C67" s="249"/>
      <c r="D67" s="252"/>
      <c r="E67" s="252"/>
      <c r="F67" s="252"/>
      <c r="G67" s="253"/>
      <c r="H67" s="253"/>
      <c r="I67" s="253"/>
      <c r="J67" s="253"/>
      <c r="K67" s="253"/>
      <c r="L67" s="253"/>
      <c r="M67" s="253"/>
      <c r="N67" s="253"/>
      <c r="O67" s="253"/>
      <c r="P67" s="253"/>
      <c r="Q67" s="318"/>
      <c r="R67" s="254"/>
    </row>
    <row r="68" spans="1:18" s="255" customFormat="1" x14ac:dyDescent="0.2">
      <c r="A68" s="337"/>
      <c r="B68" s="252"/>
      <c r="C68" s="249"/>
      <c r="D68" s="252"/>
      <c r="E68" s="252"/>
      <c r="F68" s="252"/>
      <c r="G68" s="253"/>
      <c r="H68" s="253"/>
      <c r="I68" s="253"/>
      <c r="J68" s="253"/>
      <c r="K68" s="253"/>
      <c r="L68" s="253"/>
      <c r="M68" s="253"/>
      <c r="N68" s="253"/>
      <c r="O68" s="253"/>
      <c r="P68" s="253"/>
      <c r="Q68" s="318"/>
      <c r="R68" s="254"/>
    </row>
    <row r="69" spans="1:18" s="255" customFormat="1" x14ac:dyDescent="0.2">
      <c r="A69" s="337"/>
      <c r="B69" s="252"/>
      <c r="C69" s="249"/>
      <c r="D69" s="252"/>
      <c r="E69" s="252"/>
      <c r="F69" s="252"/>
      <c r="G69" s="253"/>
      <c r="H69" s="253"/>
      <c r="I69" s="253"/>
      <c r="J69" s="253"/>
      <c r="K69" s="253"/>
      <c r="L69" s="253"/>
      <c r="M69" s="253"/>
      <c r="N69" s="253"/>
      <c r="O69" s="253"/>
      <c r="P69" s="253"/>
      <c r="Q69" s="318"/>
      <c r="R69" s="254"/>
    </row>
    <row r="70" spans="1:18" s="255" customFormat="1" x14ac:dyDescent="0.2">
      <c r="A70" s="337"/>
      <c r="B70" s="252"/>
      <c r="C70" s="249"/>
      <c r="D70" s="252"/>
      <c r="E70" s="252"/>
      <c r="F70" s="252"/>
      <c r="G70" s="253"/>
      <c r="H70" s="253"/>
      <c r="I70" s="253"/>
      <c r="J70" s="253"/>
      <c r="K70" s="253"/>
      <c r="L70" s="253"/>
      <c r="M70" s="253"/>
      <c r="N70" s="253"/>
      <c r="O70" s="253"/>
      <c r="P70" s="253"/>
      <c r="Q70" s="318"/>
      <c r="R70" s="254"/>
    </row>
    <row r="71" spans="1:18" s="255" customFormat="1" ht="15" thickBot="1" x14ac:dyDescent="0.25">
      <c r="A71" s="340"/>
      <c r="B71" s="237"/>
      <c r="C71" s="333" t="s">
        <v>2812</v>
      </c>
      <c r="D71" s="334"/>
      <c r="E71" s="1082">
        <v>2017</v>
      </c>
      <c r="F71" s="1082"/>
      <c r="G71" s="1083"/>
      <c r="H71" s="335"/>
      <c r="I71" s="1082">
        <v>2016</v>
      </c>
      <c r="J71" s="1082"/>
      <c r="K71" s="1083"/>
      <c r="L71" s="250"/>
      <c r="M71" s="333" t="s">
        <v>2813</v>
      </c>
      <c r="N71" s="330"/>
      <c r="O71" s="333" t="s">
        <v>2814</v>
      </c>
      <c r="P71" s="330"/>
      <c r="Q71" s="336" t="s">
        <v>1427</v>
      </c>
      <c r="R71" s="254"/>
    </row>
    <row r="72" spans="1:18" s="255" customFormat="1" x14ac:dyDescent="0.2">
      <c r="A72" s="340"/>
      <c r="B72" s="237"/>
      <c r="C72" s="990"/>
      <c r="D72" s="237"/>
      <c r="E72" s="237"/>
      <c r="F72" s="237"/>
      <c r="G72" s="256"/>
      <c r="H72" s="257"/>
      <c r="I72" s="237"/>
      <c r="J72" s="237"/>
      <c r="K72" s="256"/>
      <c r="L72" s="250"/>
      <c r="M72" s="256"/>
      <c r="N72" s="330"/>
      <c r="O72" s="256"/>
      <c r="P72" s="330"/>
      <c r="Q72" s="331"/>
      <c r="R72" s="254"/>
    </row>
    <row r="73" spans="1:18" s="255" customFormat="1" x14ac:dyDescent="0.2">
      <c r="A73" s="337" t="s">
        <v>4162</v>
      </c>
      <c r="B73" s="245"/>
      <c r="C73" s="988"/>
      <c r="D73" s="245"/>
      <c r="E73" s="241"/>
      <c r="F73" s="245"/>
      <c r="G73" s="262"/>
      <c r="H73" s="380"/>
      <c r="I73" s="241"/>
      <c r="J73" s="245"/>
      <c r="K73" s="262"/>
      <c r="L73" s="361"/>
      <c r="M73" s="339"/>
      <c r="N73" s="251"/>
      <c r="O73" s="339"/>
      <c r="P73" s="251"/>
      <c r="Q73" s="318"/>
      <c r="R73" s="254"/>
    </row>
    <row r="74" spans="1:18" s="255" customFormat="1" x14ac:dyDescent="0.2">
      <c r="A74" s="340" t="s">
        <v>522</v>
      </c>
      <c r="B74" s="245"/>
      <c r="C74" s="988"/>
      <c r="D74" s="245"/>
      <c r="E74" s="241"/>
      <c r="F74" s="245"/>
      <c r="G74" s="241">
        <v>15089040</v>
      </c>
      <c r="H74" s="338"/>
      <c r="I74" s="241"/>
      <c r="J74" s="245"/>
      <c r="K74" s="241">
        <v>15089040</v>
      </c>
      <c r="L74" s="241"/>
      <c r="M74" s="362">
        <f>IF(G74&gt;=K74,(G74-K74),0)</f>
        <v>0</v>
      </c>
      <c r="N74" s="376"/>
      <c r="O74" s="362">
        <f>IF(G74&lt;=K74,(K74-G74),0)</f>
        <v>0</v>
      </c>
      <c r="P74" s="376"/>
      <c r="Q74" s="341">
        <f>IF(M74,(M74/K74),IF(O74,-(O74/K74),0))</f>
        <v>0</v>
      </c>
      <c r="R74" s="254"/>
    </row>
    <row r="75" spans="1:18" s="255" customFormat="1" x14ac:dyDescent="0.2">
      <c r="A75" s="340" t="s">
        <v>473</v>
      </c>
      <c r="B75" s="245"/>
      <c r="C75" s="988"/>
      <c r="D75" s="245"/>
      <c r="E75" s="241"/>
      <c r="F75" s="245"/>
      <c r="G75" s="241">
        <v>76670476.049999997</v>
      </c>
      <c r="H75" s="338"/>
      <c r="I75" s="241"/>
      <c r="J75" s="245"/>
      <c r="K75" s="241">
        <v>70668886.049999997</v>
      </c>
      <c r="L75" s="342"/>
      <c r="M75" s="362">
        <f>IF(G75&gt;=K75,(G75-K75),0)</f>
        <v>6001590</v>
      </c>
      <c r="N75" s="376"/>
      <c r="O75" s="362">
        <f>IF(G75&lt;=K75,(K75-G75),0)</f>
        <v>0</v>
      </c>
      <c r="P75" s="376"/>
      <c r="Q75" s="341">
        <f>IF(M75,(M75/K75),IF(O75,-(O75/K75),0))</f>
        <v>8.4925493176073633E-2</v>
      </c>
      <c r="R75" s="254"/>
    </row>
    <row r="76" spans="1:18" s="255" customFormat="1" x14ac:dyDescent="0.2">
      <c r="A76" s="340" t="s">
        <v>474</v>
      </c>
      <c r="B76" s="245"/>
      <c r="C76" s="988">
        <v>14</v>
      </c>
      <c r="D76" s="245"/>
      <c r="E76" s="241"/>
      <c r="F76" s="245"/>
      <c r="G76" s="241">
        <v>124658240</v>
      </c>
      <c r="H76" s="338"/>
      <c r="I76" s="241"/>
      <c r="J76" s="245"/>
      <c r="K76" s="241">
        <v>118070750</v>
      </c>
      <c r="L76" s="342"/>
      <c r="M76" s="362">
        <f>IF(G76&gt;=K76,(G76-K76),0)</f>
        <v>6587490</v>
      </c>
      <c r="N76" s="376"/>
      <c r="O76" s="362">
        <f>IF(G76&lt;=K76,(K76-G76),0)</f>
        <v>0</v>
      </c>
      <c r="P76" s="376"/>
      <c r="Q76" s="341">
        <f>IF(M76,(M76/K76),IF(O76,-(O76/K76),0))</f>
        <v>5.5792734441002537E-2</v>
      </c>
      <c r="R76" s="254"/>
    </row>
    <row r="77" spans="1:18" s="304" customFormat="1" x14ac:dyDescent="0.2">
      <c r="A77" s="343" t="s">
        <v>2666</v>
      </c>
      <c r="B77" s="246"/>
      <c r="C77" s="989"/>
      <c r="D77" s="246"/>
      <c r="E77" s="241">
        <v>2816956592.5100002</v>
      </c>
      <c r="F77" s="245">
        <v>2816956592.5100002</v>
      </c>
      <c r="G77" s="241"/>
      <c r="H77" s="338"/>
      <c r="I77" s="241">
        <v>2609332834.27</v>
      </c>
      <c r="J77" s="245"/>
      <c r="K77" s="241"/>
      <c r="L77" s="262"/>
      <c r="M77" s="339">
        <f>+IF((E77-I77)&gt;0,(E77-I77),0)</f>
        <v>207623758.24000025</v>
      </c>
      <c r="N77" s="251"/>
      <c r="O77" s="339">
        <f>+IF((E77-I77)&lt;0,(E77-I77),0)</f>
        <v>0</v>
      </c>
      <c r="P77" s="251"/>
      <c r="Q77" s="341">
        <f>+M77/I77</f>
        <v>7.9569672183305851E-2</v>
      </c>
      <c r="R77" s="303"/>
    </row>
    <row r="78" spans="1:18" s="304" customFormat="1" ht="24.75" customHeight="1" x14ac:dyDescent="0.2">
      <c r="A78" s="343" t="s">
        <v>2843</v>
      </c>
      <c r="B78" s="246"/>
      <c r="C78" s="989"/>
      <c r="D78" s="246"/>
      <c r="E78" s="344">
        <v>-2644116086.8600001</v>
      </c>
      <c r="F78" s="245"/>
      <c r="G78" s="241"/>
      <c r="H78" s="338"/>
      <c r="I78" s="344">
        <v>-2339031454.4000001</v>
      </c>
      <c r="J78" s="245"/>
      <c r="K78" s="241"/>
      <c r="L78" s="262"/>
      <c r="M78" s="345">
        <f>-+IF((E78-I78)*-1&gt;0,(E78-I78),0)</f>
        <v>305084632.46000004</v>
      </c>
      <c r="N78" s="345"/>
      <c r="O78" s="345">
        <f>+IF((E78-I78)*-1&lt;0,(E78-I78),0)</f>
        <v>0</v>
      </c>
      <c r="P78" s="345"/>
      <c r="Q78" s="346">
        <f>-M78/I78</f>
        <v>0.13043203497161146</v>
      </c>
      <c r="R78" s="303"/>
    </row>
    <row r="79" spans="1:18" s="255" customFormat="1" x14ac:dyDescent="0.2">
      <c r="A79" s="340" t="s">
        <v>2844</v>
      </c>
      <c r="B79" s="245"/>
      <c r="C79" s="988"/>
      <c r="D79" s="245"/>
      <c r="E79" s="241"/>
      <c r="F79" s="245"/>
      <c r="G79" s="347">
        <f>(E77+E78)</f>
        <v>172840505.6500001</v>
      </c>
      <c r="H79" s="348"/>
      <c r="I79" s="241"/>
      <c r="J79" s="245"/>
      <c r="K79" s="347">
        <f>(I77+I78)</f>
        <v>270301379.86999989</v>
      </c>
      <c r="L79" s="262"/>
      <c r="M79" s="362">
        <f>IF(G79&gt;=K79,(G79-K79),0)</f>
        <v>0</v>
      </c>
      <c r="N79" s="376"/>
      <c r="O79" s="362">
        <f>IF(G79&lt;=K79,(K79-G79),0)</f>
        <v>97460874.21999979</v>
      </c>
      <c r="P79" s="376"/>
      <c r="Q79" s="341">
        <f>IF(M79,(M79/K79),IF(O79,-(O79/K79),0))</f>
        <v>-0.36056373173852502</v>
      </c>
      <c r="R79" s="254"/>
    </row>
    <row r="80" spans="1:18" s="255" customFormat="1" ht="25.5" x14ac:dyDescent="0.2">
      <c r="A80" s="340" t="s">
        <v>2663</v>
      </c>
      <c r="B80" s="245"/>
      <c r="C80" s="988"/>
      <c r="D80" s="245"/>
      <c r="E80" s="241"/>
      <c r="F80" s="245"/>
      <c r="G80" s="351">
        <v>43169915</v>
      </c>
      <c r="H80" s="383"/>
      <c r="I80" s="241"/>
      <c r="J80" s="245"/>
      <c r="K80" s="351">
        <v>0</v>
      </c>
      <c r="L80" s="262"/>
      <c r="M80" s="352">
        <f>IF(G80&gt;=K80,(G80-K80),0)</f>
        <v>43169915</v>
      </c>
      <c r="N80" s="376"/>
      <c r="O80" s="352">
        <f>IF(G80&lt;=K80,(K80-G80),0)</f>
        <v>0</v>
      </c>
      <c r="P80" s="376"/>
      <c r="Q80" s="353">
        <f>+M80/G80</f>
        <v>1</v>
      </c>
      <c r="R80" s="254"/>
    </row>
    <row r="81" spans="1:18" s="255" customFormat="1" x14ac:dyDescent="0.2">
      <c r="A81" s="354" t="s">
        <v>4163</v>
      </c>
      <c r="B81" s="245"/>
      <c r="C81" s="988"/>
      <c r="D81" s="245"/>
      <c r="E81" s="245"/>
      <c r="F81" s="245"/>
      <c r="G81" s="356">
        <f>SUM(G74:G80)</f>
        <v>432428176.70000011</v>
      </c>
      <c r="H81" s="380"/>
      <c r="I81" s="245"/>
      <c r="J81" s="245"/>
      <c r="K81" s="356">
        <f>SUM(K74:K80)</f>
        <v>474130055.9199999</v>
      </c>
      <c r="L81" s="262"/>
      <c r="M81" s="381">
        <f>IF(G81&gt;=K81,(G81-K81),0)</f>
        <v>0</v>
      </c>
      <c r="N81" s="376"/>
      <c r="O81" s="381">
        <f>IF(G81&lt;=K81,(K81-G81),0)</f>
        <v>41701879.21999979</v>
      </c>
      <c r="P81" s="376"/>
      <c r="Q81" s="382">
        <f>IF(M81,(M81/K81),IF(O81,-(O81/K81),0))</f>
        <v>-8.7954515220684856E-2</v>
      </c>
      <c r="R81" s="254"/>
    </row>
    <row r="82" spans="1:18" s="255" customFormat="1" ht="15" thickBot="1" x14ac:dyDescent="0.25">
      <c r="A82" s="384"/>
      <c r="B82" s="245"/>
      <c r="C82" s="988"/>
      <c r="D82" s="245"/>
      <c r="E82" s="245"/>
      <c r="F82" s="245"/>
      <c r="G82" s="385"/>
      <c r="H82" s="338"/>
      <c r="I82" s="245"/>
      <c r="J82" s="245"/>
      <c r="K82" s="385"/>
      <c r="L82" s="342"/>
      <c r="M82" s="386"/>
      <c r="N82" s="251"/>
      <c r="O82" s="386"/>
      <c r="P82" s="251"/>
      <c r="Q82" s="387"/>
      <c r="R82" s="254"/>
    </row>
    <row r="83" spans="1:18" s="255" customFormat="1" ht="15" thickTop="1" x14ac:dyDescent="0.2">
      <c r="A83" s="388" t="s">
        <v>4164</v>
      </c>
      <c r="B83" s="245"/>
      <c r="C83" s="988"/>
      <c r="D83" s="245"/>
      <c r="E83" s="245"/>
      <c r="F83" s="245"/>
      <c r="G83" s="389">
        <f>+G28+G65+G81</f>
        <v>218498477802.94</v>
      </c>
      <c r="H83" s="380"/>
      <c r="I83" s="245"/>
      <c r="J83" s="245"/>
      <c r="K83" s="389">
        <f>+K28+K65+K81</f>
        <v>191768169105.19</v>
      </c>
      <c r="L83" s="390"/>
      <c r="M83" s="381">
        <f>IF(G83&gt;=K83,(G83-K83),0)</f>
        <v>26730308697.75</v>
      </c>
      <c r="N83" s="376"/>
      <c r="O83" s="381">
        <f>IF(G83&lt;=K83,(K83-G83),0)</f>
        <v>0</v>
      </c>
      <c r="P83" s="376"/>
      <c r="Q83" s="382">
        <f>IF(M83,(M83/K83),IF(O83,-(O83/K83),0))</f>
        <v>0.13938866300114544</v>
      </c>
      <c r="R83" s="254"/>
    </row>
    <row r="84" spans="1:18" x14ac:dyDescent="0.2">
      <c r="A84" s="337"/>
      <c r="B84" s="245"/>
      <c r="C84" s="988"/>
      <c r="D84" s="245"/>
      <c r="E84" s="245"/>
      <c r="F84" s="245"/>
      <c r="G84" s="253"/>
      <c r="H84" s="391"/>
      <c r="I84" s="245"/>
      <c r="J84" s="245"/>
      <c r="K84" s="253"/>
      <c r="L84" s="253"/>
      <c r="M84" s="339"/>
      <c r="N84" s="251"/>
      <c r="O84" s="339"/>
      <c r="P84" s="251"/>
      <c r="Q84" s="318"/>
    </row>
    <row r="85" spans="1:18" s="255" customFormat="1" x14ac:dyDescent="0.2">
      <c r="A85" s="337" t="s">
        <v>475</v>
      </c>
      <c r="B85" s="242"/>
      <c r="C85" s="243"/>
      <c r="D85" s="242"/>
      <c r="E85" s="242"/>
      <c r="F85" s="242"/>
      <c r="G85" s="241"/>
      <c r="H85" s="338"/>
      <c r="I85" s="242"/>
      <c r="J85" s="242"/>
      <c r="K85" s="241"/>
      <c r="L85" s="361"/>
      <c r="M85" s="339"/>
      <c r="N85" s="251"/>
      <c r="O85" s="339"/>
      <c r="P85" s="251"/>
      <c r="Q85" s="318"/>
      <c r="R85" s="254"/>
    </row>
    <row r="86" spans="1:18" s="255" customFormat="1" x14ac:dyDescent="0.2">
      <c r="A86" s="340"/>
      <c r="B86" s="245"/>
      <c r="C86" s="988"/>
      <c r="D86" s="245"/>
      <c r="E86" s="245"/>
      <c r="F86" s="245"/>
      <c r="G86" s="241"/>
      <c r="H86" s="338"/>
      <c r="I86" s="245"/>
      <c r="J86" s="245"/>
      <c r="K86" s="241"/>
      <c r="L86" s="241"/>
      <c r="M86" s="339"/>
      <c r="N86" s="251"/>
      <c r="O86" s="339"/>
      <c r="P86" s="251"/>
      <c r="Q86" s="318"/>
      <c r="R86" s="254"/>
    </row>
    <row r="87" spans="1:18" s="255" customFormat="1" x14ac:dyDescent="0.2">
      <c r="A87" s="337" t="s">
        <v>4158</v>
      </c>
      <c r="B87" s="245"/>
      <c r="C87" s="988"/>
      <c r="D87" s="245"/>
      <c r="E87" s="245"/>
      <c r="F87" s="245"/>
      <c r="G87" s="241"/>
      <c r="H87" s="338"/>
      <c r="I87" s="245"/>
      <c r="J87" s="245"/>
      <c r="K87" s="241"/>
      <c r="L87" s="241"/>
      <c r="M87" s="339"/>
      <c r="N87" s="251"/>
      <c r="O87" s="339"/>
      <c r="P87" s="251"/>
      <c r="Q87" s="318"/>
      <c r="R87" s="254"/>
    </row>
    <row r="88" spans="1:18" s="255" customFormat="1" x14ac:dyDescent="0.2">
      <c r="A88" s="340" t="s">
        <v>4157</v>
      </c>
      <c r="B88" s="245"/>
      <c r="C88" s="988">
        <v>15</v>
      </c>
      <c r="D88" s="245"/>
      <c r="E88" s="245"/>
      <c r="F88" s="245"/>
      <c r="G88" s="241">
        <v>482218237.02999997</v>
      </c>
      <c r="H88" s="338"/>
      <c r="I88" s="245"/>
      <c r="J88" s="245"/>
      <c r="K88" s="241">
        <v>478061378.99000001</v>
      </c>
      <c r="L88" s="241"/>
      <c r="M88" s="362">
        <f>IF(G88&gt;=K88,(G88-K88),0)</f>
        <v>4156858.0399999619</v>
      </c>
      <c r="N88" s="376"/>
      <c r="O88" s="362">
        <f>IF(G88&lt;=K88,(K88-G88),0)</f>
        <v>0</v>
      </c>
      <c r="P88" s="376"/>
      <c r="Q88" s="341">
        <f>IF(M88,(M88/K88),IF(O88,-(O88/K88),0))</f>
        <v>8.6952391945614872E-3</v>
      </c>
      <c r="R88" s="254"/>
    </row>
    <row r="89" spans="1:18" s="255" customFormat="1" x14ac:dyDescent="0.2">
      <c r="A89" s="340" t="s">
        <v>2667</v>
      </c>
      <c r="B89" s="245"/>
      <c r="C89" s="988">
        <v>16</v>
      </c>
      <c r="D89" s="245"/>
      <c r="E89" s="245"/>
      <c r="F89" s="245"/>
      <c r="G89" s="241">
        <v>6057663922.5600004</v>
      </c>
      <c r="H89" s="338"/>
      <c r="I89" s="245"/>
      <c r="J89" s="245"/>
      <c r="K89" s="241">
        <v>5754738667.5500002</v>
      </c>
      <c r="L89" s="241"/>
      <c r="M89" s="362">
        <f>IF(G89&gt;=K89,(G89-K89),0)</f>
        <v>302925255.01000023</v>
      </c>
      <c r="N89" s="376"/>
      <c r="O89" s="362">
        <f>IF(G89&lt;=K89,(K89-G89),0)</f>
        <v>0</v>
      </c>
      <c r="P89" s="376"/>
      <c r="Q89" s="341">
        <f>IF(M89,(M89/K89),IF(O89,-(O89/K89),0))</f>
        <v>5.2639272173755622E-2</v>
      </c>
      <c r="R89" s="254"/>
    </row>
    <row r="90" spans="1:18" x14ac:dyDescent="0.2">
      <c r="A90" s="340" t="s">
        <v>477</v>
      </c>
      <c r="B90" s="245"/>
      <c r="C90" s="988">
        <v>17</v>
      </c>
      <c r="D90" s="245"/>
      <c r="E90" s="245"/>
      <c r="F90" s="245"/>
      <c r="G90" s="241">
        <v>10667703472.969999</v>
      </c>
      <c r="H90" s="338"/>
      <c r="I90" s="245"/>
      <c r="J90" s="245"/>
      <c r="K90" s="241">
        <v>9990060142.7999992</v>
      </c>
      <c r="L90" s="241"/>
      <c r="M90" s="362">
        <f>IF(G90&gt;=K90,(G90-K90),0)</f>
        <v>677643330.17000008</v>
      </c>
      <c r="N90" s="376"/>
      <c r="O90" s="362">
        <f>IF(G90&lt;=K90,(K90-G90),0)</f>
        <v>0</v>
      </c>
      <c r="P90" s="376"/>
      <c r="Q90" s="341">
        <f>IF(M90,(M90/K90),IF(O90,-(O90/K90),0))</f>
        <v>6.7831756814636268E-2</v>
      </c>
    </row>
    <row r="91" spans="1:18" x14ac:dyDescent="0.2">
      <c r="A91" s="340" t="s">
        <v>1591</v>
      </c>
      <c r="B91" s="245"/>
      <c r="C91" s="988">
        <v>18</v>
      </c>
      <c r="D91" s="245"/>
      <c r="E91" s="245"/>
      <c r="F91" s="245"/>
      <c r="G91" s="379">
        <v>2454935298.1799998</v>
      </c>
      <c r="H91" s="392"/>
      <c r="I91" s="245"/>
      <c r="J91" s="245"/>
      <c r="K91" s="379">
        <v>2372448187.4499998</v>
      </c>
      <c r="L91" s="379"/>
      <c r="M91" s="362">
        <f>IF(G91&gt;=K91,(G91-K91),0)</f>
        <v>82487110.730000019</v>
      </c>
      <c r="N91" s="376"/>
      <c r="O91" s="362">
        <f>IF(G91&lt;=K91,(K91-G91),0)</f>
        <v>0</v>
      </c>
      <c r="P91" s="376"/>
      <c r="Q91" s="341">
        <f>IF(M91,(M91/K91),IF(O91,-(O91/K91),0))</f>
        <v>3.4768772260801363E-2</v>
      </c>
    </row>
    <row r="92" spans="1:18" x14ac:dyDescent="0.2">
      <c r="A92" s="340" t="s">
        <v>4178</v>
      </c>
      <c r="B92" s="245"/>
      <c r="C92" s="988">
        <v>19</v>
      </c>
      <c r="D92" s="245"/>
      <c r="E92" s="245"/>
      <c r="F92" s="245"/>
      <c r="G92" s="379">
        <v>211844886.53999999</v>
      </c>
      <c r="H92" s="392"/>
      <c r="I92" s="245"/>
      <c r="J92" s="245"/>
      <c r="K92" s="379">
        <v>0</v>
      </c>
      <c r="L92" s="379"/>
      <c r="M92" s="362">
        <f>+G92-K92</f>
        <v>211844886.53999999</v>
      </c>
      <c r="N92" s="376"/>
      <c r="O92" s="362">
        <v>0</v>
      </c>
      <c r="P92" s="376"/>
      <c r="Q92" s="341">
        <f>+M92/G92</f>
        <v>1</v>
      </c>
    </row>
    <row r="93" spans="1:18" x14ac:dyDescent="0.2">
      <c r="A93" s="354" t="s">
        <v>4159</v>
      </c>
      <c r="B93" s="245"/>
      <c r="C93" s="988"/>
      <c r="D93" s="245"/>
      <c r="E93" s="245"/>
      <c r="F93" s="245"/>
      <c r="G93" s="393">
        <f>SUM(G88:G92)</f>
        <v>19874365817.279999</v>
      </c>
      <c r="H93" s="380"/>
      <c r="I93" s="245"/>
      <c r="J93" s="245"/>
      <c r="K93" s="393">
        <f>SUM(K88:K92)</f>
        <v>18595308376.790001</v>
      </c>
      <c r="L93" s="241"/>
      <c r="M93" s="381">
        <f>IF(G93&gt;=K93,(G93-K93),0)</f>
        <v>1279057440.4899979</v>
      </c>
      <c r="N93" s="376"/>
      <c r="O93" s="381">
        <f>IF(G93&lt;=K93,(K93-G93),0)</f>
        <v>0</v>
      </c>
      <c r="P93" s="376"/>
      <c r="Q93" s="382">
        <f>IF(M93,(M93/K93),IF(O93,-(O93/K93),0))</f>
        <v>6.8783878953385447E-2</v>
      </c>
    </row>
    <row r="94" spans="1:18" x14ac:dyDescent="0.2">
      <c r="A94" s="337"/>
      <c r="B94" s="245"/>
      <c r="C94" s="988"/>
      <c r="D94" s="245"/>
      <c r="E94" s="245"/>
      <c r="F94" s="245"/>
      <c r="G94" s="241"/>
      <c r="H94" s="338"/>
      <c r="I94" s="245"/>
      <c r="J94" s="245"/>
      <c r="K94" s="241"/>
      <c r="L94" s="241"/>
      <c r="M94" s="339"/>
      <c r="N94" s="339"/>
      <c r="O94" s="339"/>
      <c r="P94" s="339"/>
      <c r="Q94" s="394"/>
    </row>
    <row r="95" spans="1:18" s="255" customFormat="1" x14ac:dyDescent="0.2">
      <c r="A95" s="337" t="s">
        <v>4180</v>
      </c>
      <c r="B95" s="245"/>
      <c r="C95" s="988"/>
      <c r="D95" s="245"/>
      <c r="E95" s="245"/>
      <c r="F95" s="245"/>
      <c r="G95" s="241"/>
      <c r="H95" s="338"/>
      <c r="I95" s="245"/>
      <c r="J95" s="245"/>
      <c r="K95" s="241"/>
      <c r="L95" s="253"/>
      <c r="M95" s="339"/>
      <c r="N95" s="339"/>
      <c r="O95" s="339"/>
      <c r="P95" s="339"/>
      <c r="Q95" s="394"/>
      <c r="R95" s="254"/>
    </row>
    <row r="96" spans="1:18" s="255" customFormat="1" x14ac:dyDescent="0.2">
      <c r="A96" s="340" t="s">
        <v>4179</v>
      </c>
      <c r="B96" s="245"/>
      <c r="C96" s="988">
        <v>20</v>
      </c>
      <c r="D96" s="245"/>
      <c r="E96" s="245"/>
      <c r="F96" s="245"/>
      <c r="G96" s="395">
        <v>24595795888.220001</v>
      </c>
      <c r="H96" s="338"/>
      <c r="I96" s="245"/>
      <c r="J96" s="245"/>
      <c r="K96" s="395">
        <v>21647695773.52</v>
      </c>
      <c r="L96" s="241"/>
      <c r="M96" s="362">
        <f>IF(G96&gt;=K96,(G96-K96),0)</f>
        <v>2948100114.7000008</v>
      </c>
      <c r="N96" s="376"/>
      <c r="O96" s="362">
        <f>IF(G96&lt;=K96,(K96-G96),0)</f>
        <v>0</v>
      </c>
      <c r="P96" s="376"/>
      <c r="Q96" s="341">
        <f>IF(M96,(M96/K96),IF(O96,-(O96/K96),0))</f>
        <v>0.13618540030972673</v>
      </c>
      <c r="R96" s="254"/>
    </row>
    <row r="97" spans="1:18" s="255" customFormat="1" x14ac:dyDescent="0.2">
      <c r="A97" s="354" t="s">
        <v>4181</v>
      </c>
      <c r="B97" s="245"/>
      <c r="C97" s="988"/>
      <c r="D97" s="245"/>
      <c r="E97" s="245"/>
      <c r="F97" s="245"/>
      <c r="G97" s="356">
        <f>SUM(G96)</f>
        <v>24595795888.220001</v>
      </c>
      <c r="H97" s="380"/>
      <c r="I97" s="245"/>
      <c r="J97" s="245"/>
      <c r="K97" s="356">
        <f>SUM(K96)</f>
        <v>21647695773.52</v>
      </c>
      <c r="L97" s="241"/>
      <c r="M97" s="358">
        <f>IF(G97&gt;=K97,(G97-K97),0)</f>
        <v>2948100114.7000008</v>
      </c>
      <c r="N97" s="376"/>
      <c r="O97" s="358">
        <f>IF(G97&lt;=K97,(K97-G97),0)</f>
        <v>0</v>
      </c>
      <c r="P97" s="376"/>
      <c r="Q97" s="396">
        <f>IF(M97,(M97/K97),IF(O97,-(O97/K97),0))</f>
        <v>0.13618540030972673</v>
      </c>
      <c r="R97" s="254"/>
    </row>
    <row r="98" spans="1:18" s="255" customFormat="1" ht="15" thickBot="1" x14ac:dyDescent="0.25">
      <c r="A98" s="397"/>
      <c r="B98" s="245"/>
      <c r="C98" s="988"/>
      <c r="D98" s="245"/>
      <c r="E98" s="245"/>
      <c r="F98" s="245"/>
      <c r="G98" s="385"/>
      <c r="H98" s="338"/>
      <c r="I98" s="245"/>
      <c r="J98" s="245"/>
      <c r="K98" s="385"/>
      <c r="L98" s="241"/>
      <c r="M98" s="386"/>
      <c r="N98" s="339"/>
      <c r="O98" s="386"/>
      <c r="P98" s="339"/>
      <c r="Q98" s="398"/>
      <c r="R98" s="254"/>
    </row>
    <row r="99" spans="1:18" s="255" customFormat="1" ht="15" thickTop="1" x14ac:dyDescent="0.2">
      <c r="A99" s="399" t="s">
        <v>4160</v>
      </c>
      <c r="B99" s="245"/>
      <c r="C99" s="988"/>
      <c r="D99" s="245"/>
      <c r="E99" s="245"/>
      <c r="F99" s="245"/>
      <c r="G99" s="389">
        <f>+G93+G97</f>
        <v>44470161705.5</v>
      </c>
      <c r="H99" s="380"/>
      <c r="I99" s="245"/>
      <c r="J99" s="245"/>
      <c r="K99" s="389">
        <f>+K93+K97</f>
        <v>40243004150.309998</v>
      </c>
      <c r="L99" s="241"/>
      <c r="M99" s="358">
        <f>IF(G99&gt;=K99,(G99-K99),0)</f>
        <v>4227157555.1900024</v>
      </c>
      <c r="N99" s="376"/>
      <c r="O99" s="358">
        <f>IF(G99&lt;=K99,(K99-G99),0)</f>
        <v>0</v>
      </c>
      <c r="P99" s="376"/>
      <c r="Q99" s="396">
        <f>IF(M99,(M99/K99),IF(O99,-(O99/K99),0))</f>
        <v>0.10504080509003054</v>
      </c>
      <c r="R99" s="254"/>
    </row>
    <row r="100" spans="1:18" s="255" customFormat="1" x14ac:dyDescent="0.2">
      <c r="A100" s="340"/>
      <c r="B100" s="242"/>
      <c r="C100" s="243"/>
      <c r="D100" s="242"/>
      <c r="E100" s="242"/>
      <c r="F100" s="242"/>
      <c r="G100" s="253"/>
      <c r="H100" s="391"/>
      <c r="I100" s="242"/>
      <c r="J100" s="242"/>
      <c r="K100" s="253"/>
      <c r="L100" s="250"/>
      <c r="M100" s="339"/>
      <c r="N100" s="339"/>
      <c r="O100" s="339"/>
      <c r="P100" s="339"/>
      <c r="Q100" s="394"/>
      <c r="R100" s="254"/>
    </row>
    <row r="101" spans="1:18" s="255" customFormat="1" x14ac:dyDescent="0.2">
      <c r="A101" s="337" t="s">
        <v>2845</v>
      </c>
      <c r="B101" s="245"/>
      <c r="C101" s="988"/>
      <c r="D101" s="245"/>
      <c r="E101" s="245"/>
      <c r="F101" s="245"/>
      <c r="G101" s="379"/>
      <c r="H101" s="379"/>
      <c r="I101" s="245"/>
      <c r="J101" s="245"/>
      <c r="K101" s="379"/>
      <c r="L101" s="241"/>
      <c r="M101" s="339"/>
      <c r="N101" s="339"/>
      <c r="O101" s="339"/>
      <c r="P101" s="339"/>
      <c r="Q101" s="394"/>
      <c r="R101" s="254"/>
    </row>
    <row r="102" spans="1:18" s="255" customFormat="1" x14ac:dyDescent="0.2">
      <c r="A102" s="337"/>
      <c r="B102" s="245"/>
      <c r="C102" s="988"/>
      <c r="D102" s="245"/>
      <c r="E102" s="245"/>
      <c r="F102" s="245"/>
      <c r="G102" s="379"/>
      <c r="H102" s="379"/>
      <c r="I102" s="245"/>
      <c r="J102" s="245"/>
      <c r="K102" s="379"/>
      <c r="L102" s="241"/>
      <c r="M102" s="339"/>
      <c r="N102" s="339"/>
      <c r="O102" s="339"/>
      <c r="P102" s="339"/>
      <c r="Q102" s="394"/>
      <c r="R102" s="254"/>
    </row>
    <row r="103" spans="1:18" s="255" customFormat="1" x14ac:dyDescent="0.2">
      <c r="A103" s="354" t="s">
        <v>757</v>
      </c>
      <c r="B103" s="248"/>
      <c r="C103" s="988">
        <v>21</v>
      </c>
      <c r="D103" s="248"/>
      <c r="E103" s="248"/>
      <c r="F103" s="248"/>
      <c r="G103" s="356">
        <f>86694776302.57+285797001.05-4342895.51</f>
        <v>86976230408.110016</v>
      </c>
      <c r="H103" s="379"/>
      <c r="I103" s="248"/>
      <c r="J103" s="248"/>
      <c r="K103" s="356">
        <v>71768673404.990005</v>
      </c>
      <c r="L103" s="241"/>
      <c r="M103" s="358">
        <f>IF(G103&gt;=K103,(G103-K103),0)</f>
        <v>15207557003.12001</v>
      </c>
      <c r="N103" s="376"/>
      <c r="O103" s="358">
        <f>IF(G103&lt;=K103,(K103-G103),0)</f>
        <v>0</v>
      </c>
      <c r="P103" s="376"/>
      <c r="Q103" s="396">
        <f>IF(M103,(M103/K103),IF(O103,-(O103/K103),0))</f>
        <v>0.21189686644065298</v>
      </c>
      <c r="R103" s="254"/>
    </row>
    <row r="104" spans="1:18" x14ac:dyDescent="0.2">
      <c r="A104" s="340"/>
      <c r="B104" s="245"/>
      <c r="C104" s="988"/>
      <c r="D104" s="245"/>
      <c r="E104" s="241"/>
      <c r="F104" s="245"/>
      <c r="G104" s="379"/>
      <c r="H104" s="379"/>
      <c r="I104" s="241"/>
      <c r="J104" s="245"/>
      <c r="K104" s="379"/>
      <c r="L104" s="361"/>
      <c r="M104" s="339"/>
      <c r="N104" s="339"/>
      <c r="O104" s="339"/>
      <c r="P104" s="339"/>
      <c r="Q104" s="394"/>
    </row>
    <row r="105" spans="1:18" x14ac:dyDescent="0.2">
      <c r="A105" s="340" t="s">
        <v>1768</v>
      </c>
      <c r="B105" s="248"/>
      <c r="C105" s="988"/>
      <c r="D105" s="248"/>
      <c r="E105" s="241"/>
      <c r="F105" s="248"/>
      <c r="G105" s="241"/>
      <c r="H105" s="338"/>
      <c r="I105" s="241"/>
      <c r="J105" s="248"/>
      <c r="K105" s="241"/>
      <c r="L105" s="361"/>
      <c r="M105" s="339"/>
      <c r="N105" s="339"/>
      <c r="O105" s="339"/>
      <c r="P105" s="339"/>
      <c r="Q105" s="394"/>
    </row>
    <row r="106" spans="1:18" s="304" customFormat="1" ht="25.5" x14ac:dyDescent="0.2">
      <c r="A106" s="343" t="s">
        <v>2846</v>
      </c>
      <c r="B106" s="246"/>
      <c r="C106" s="989"/>
      <c r="D106" s="246"/>
      <c r="E106" s="241">
        <v>688683426.27999997</v>
      </c>
      <c r="F106" s="245"/>
      <c r="G106" s="328"/>
      <c r="H106" s="338"/>
      <c r="I106" s="241">
        <v>599742641.80999994</v>
      </c>
      <c r="J106" s="245"/>
      <c r="K106" s="328"/>
      <c r="L106" s="400"/>
      <c r="M106" s="362">
        <f>IF(E106&gt;=I106,(E106-I106),0)</f>
        <v>88940784.470000029</v>
      </c>
      <c r="N106" s="376"/>
      <c r="O106" s="362">
        <f>IF(E106&lt;=I106,(E106-I106),0)</f>
        <v>0</v>
      </c>
      <c r="P106" s="376"/>
      <c r="Q106" s="341">
        <f>+M106/I106</f>
        <v>0.14829825039883809</v>
      </c>
      <c r="R106" s="303"/>
    </row>
    <row r="107" spans="1:18" s="304" customFormat="1" x14ac:dyDescent="0.2">
      <c r="A107" s="401" t="s">
        <v>2847</v>
      </c>
      <c r="B107" s="246"/>
      <c r="C107" s="989"/>
      <c r="D107" s="246"/>
      <c r="E107" s="241">
        <v>0</v>
      </c>
      <c r="F107" s="245"/>
      <c r="G107" s="328"/>
      <c r="H107" s="338"/>
      <c r="I107" s="241">
        <v>0</v>
      </c>
      <c r="J107" s="245"/>
      <c r="K107" s="328"/>
      <c r="L107" s="400"/>
      <c r="M107" s="362">
        <f>IF(E107&gt;=I107,(E107-I107),0)</f>
        <v>0</v>
      </c>
      <c r="N107" s="376"/>
      <c r="O107" s="362">
        <f>IF(E107&lt;=I107,(E107-I107),0)</f>
        <v>0</v>
      </c>
      <c r="P107" s="376"/>
      <c r="Q107" s="341">
        <v>0</v>
      </c>
      <c r="R107" s="303"/>
    </row>
    <row r="108" spans="1:18" s="304" customFormat="1" ht="25.5" x14ac:dyDescent="0.2">
      <c r="A108" s="401" t="s">
        <v>4188</v>
      </c>
      <c r="B108" s="246"/>
      <c r="C108" s="989"/>
      <c r="D108" s="246"/>
      <c r="E108" s="371">
        <v>-53523043.740000002</v>
      </c>
      <c r="F108" s="245"/>
      <c r="G108" s="328"/>
      <c r="H108" s="338"/>
      <c r="I108" s="371">
        <v>-41892869.109999999</v>
      </c>
      <c r="J108" s="245"/>
      <c r="K108" s="328"/>
      <c r="L108" s="400"/>
      <c r="M108" s="362">
        <f>IF(E108&lt;=I108,-(E108-I108),0)</f>
        <v>11630174.630000003</v>
      </c>
      <c r="N108" s="376"/>
      <c r="O108" s="362">
        <f>IF(E108&gt;=I108,(E108-I108),0)</f>
        <v>0</v>
      </c>
      <c r="P108" s="376"/>
      <c r="Q108" s="341">
        <v>0.27760000000000001</v>
      </c>
      <c r="R108" s="303"/>
    </row>
    <row r="109" spans="1:18" s="255" customFormat="1" x14ac:dyDescent="0.2">
      <c r="A109" s="402" t="s">
        <v>2848</v>
      </c>
      <c r="B109" s="245"/>
      <c r="C109" s="988"/>
      <c r="D109" s="245"/>
      <c r="E109" s="241"/>
      <c r="F109" s="245"/>
      <c r="G109" s="347">
        <f>SUM(E106:E108)</f>
        <v>635160382.53999996</v>
      </c>
      <c r="H109" s="348"/>
      <c r="I109" s="241"/>
      <c r="J109" s="245"/>
      <c r="K109" s="347">
        <f>SUM(I106:I108)</f>
        <v>557849772.69999993</v>
      </c>
      <c r="L109" s="361"/>
      <c r="M109" s="362">
        <f t="shared" ref="M109:M116" si="4">IF(G109&gt;=K109,(G109-K109),0)</f>
        <v>77310609.840000033</v>
      </c>
      <c r="N109" s="376"/>
      <c r="O109" s="362">
        <f t="shared" ref="O109:O116" si="5">IF(G109&lt;=K109,(K109-G109),0)</f>
        <v>0</v>
      </c>
      <c r="P109" s="376"/>
      <c r="Q109" s="341">
        <f t="shared" ref="Q109:Q116" si="6">IF(M109,(M109/K109),IF(O109,-(O109/K109),0))</f>
        <v>0.13858679096670723</v>
      </c>
      <c r="R109" s="254"/>
    </row>
    <row r="110" spans="1:18" s="255" customFormat="1" ht="25.5" x14ac:dyDescent="0.2">
      <c r="A110" s="402" t="s">
        <v>4187</v>
      </c>
      <c r="B110" s="245"/>
      <c r="C110" s="988"/>
      <c r="D110" s="245"/>
      <c r="E110" s="241"/>
      <c r="F110" s="245"/>
      <c r="G110" s="344">
        <v>-3572539639.6399999</v>
      </c>
      <c r="H110" s="338"/>
      <c r="I110" s="241"/>
      <c r="J110" s="245"/>
      <c r="K110" s="344">
        <v>-2554491240.3200002</v>
      </c>
      <c r="L110" s="241"/>
      <c r="M110" s="362">
        <f>IF(G110&lt;=K110,-(G110-K110),0)</f>
        <v>1018048399.3199997</v>
      </c>
      <c r="N110" s="376"/>
      <c r="O110" s="362">
        <f>IF(G110&gt;=K110,(K110-G110),0)</f>
        <v>0</v>
      </c>
      <c r="P110" s="376"/>
      <c r="Q110" s="341">
        <f>M110/-K110</f>
        <v>0.3985327423524338</v>
      </c>
      <c r="R110" s="254"/>
    </row>
    <row r="111" spans="1:18" ht="25.5" x14ac:dyDescent="0.2">
      <c r="A111" s="340" t="s">
        <v>4189</v>
      </c>
      <c r="B111" s="245"/>
      <c r="C111" s="988"/>
      <c r="D111" s="245"/>
      <c r="E111" s="241"/>
      <c r="F111" s="245"/>
      <c r="G111" s="344">
        <v>-7499000</v>
      </c>
      <c r="H111" s="338"/>
      <c r="I111" s="241"/>
      <c r="J111" s="245"/>
      <c r="K111" s="344">
        <v>-33208000</v>
      </c>
      <c r="L111" s="361"/>
      <c r="M111" s="362">
        <f>IF(G111&lt;=K111,-(G111-K111),0)</f>
        <v>0</v>
      </c>
      <c r="N111" s="376"/>
      <c r="O111" s="362">
        <f>IF(G111&gt;=K111,-(K111-G111),0)</f>
        <v>25709000</v>
      </c>
      <c r="P111" s="376"/>
      <c r="Q111" s="341">
        <f>IF(M111,(M111/K111),IF(O111,(O111/K111),0))</f>
        <v>-0.77418092026017826</v>
      </c>
    </row>
    <row r="112" spans="1:18" s="255" customFormat="1" ht="25.5" x14ac:dyDescent="0.2">
      <c r="A112" s="402" t="s">
        <v>4190</v>
      </c>
      <c r="B112" s="258"/>
      <c r="C112" s="991"/>
      <c r="D112" s="258"/>
      <c r="E112" s="379"/>
      <c r="F112" s="258"/>
      <c r="G112" s="379">
        <v>0</v>
      </c>
      <c r="H112" s="338"/>
      <c r="I112" s="379"/>
      <c r="J112" s="258"/>
      <c r="K112" s="379">
        <v>599843244.26999998</v>
      </c>
      <c r="L112" s="403"/>
      <c r="M112" s="362">
        <f t="shared" si="4"/>
        <v>0</v>
      </c>
      <c r="N112" s="376"/>
      <c r="O112" s="362">
        <f t="shared" si="5"/>
        <v>599843244.26999998</v>
      </c>
      <c r="P112" s="376"/>
      <c r="Q112" s="341">
        <f t="shared" si="6"/>
        <v>-1</v>
      </c>
      <c r="R112" s="254"/>
    </row>
    <row r="113" spans="1:18" s="255" customFormat="1" x14ac:dyDescent="0.2">
      <c r="A113" s="402" t="s">
        <v>479</v>
      </c>
      <c r="B113" s="258"/>
      <c r="C113" s="991">
        <v>22</v>
      </c>
      <c r="D113" s="258"/>
      <c r="E113" s="258"/>
      <c r="F113" s="258"/>
      <c r="G113" s="379">
        <v>89526356830.960007</v>
      </c>
      <c r="H113" s="338"/>
      <c r="I113" s="258"/>
      <c r="J113" s="258"/>
      <c r="K113" s="379">
        <v>80712764253.179993</v>
      </c>
      <c r="L113" s="403"/>
      <c r="M113" s="362">
        <f t="shared" si="4"/>
        <v>8813592577.780014</v>
      </c>
      <c r="N113" s="376"/>
      <c r="O113" s="362">
        <f t="shared" si="5"/>
        <v>0</v>
      </c>
      <c r="P113" s="376"/>
      <c r="Q113" s="341">
        <f t="shared" si="6"/>
        <v>0.10919701065042842</v>
      </c>
      <c r="R113" s="254"/>
    </row>
    <row r="114" spans="1:18" s="255" customFormat="1" x14ac:dyDescent="0.2">
      <c r="A114" s="402" t="s">
        <v>2849</v>
      </c>
      <c r="B114" s="258"/>
      <c r="C114" s="991"/>
      <c r="D114" s="258"/>
      <c r="E114" s="258"/>
      <c r="F114" s="258"/>
      <c r="G114" s="379">
        <v>357275275.47000003</v>
      </c>
      <c r="H114" s="338"/>
      <c r="I114" s="258"/>
      <c r="J114" s="258"/>
      <c r="K114" s="379">
        <v>366989170.06</v>
      </c>
      <c r="L114" s="403"/>
      <c r="M114" s="362">
        <f t="shared" si="4"/>
        <v>0</v>
      </c>
      <c r="N114" s="376"/>
      <c r="O114" s="362">
        <f t="shared" si="5"/>
        <v>9713894.5899999738</v>
      </c>
      <c r="P114" s="376"/>
      <c r="Q114" s="341">
        <f t="shared" si="6"/>
        <v>-2.646915871771318E-2</v>
      </c>
      <c r="R114" s="254"/>
    </row>
    <row r="115" spans="1:18" s="255" customFormat="1" x14ac:dyDescent="0.2">
      <c r="A115" s="402" t="s">
        <v>357</v>
      </c>
      <c r="B115" s="258"/>
      <c r="C115" s="991"/>
      <c r="D115" s="258"/>
      <c r="E115" s="258"/>
      <c r="F115" s="258"/>
      <c r="G115" s="379">
        <v>113331840</v>
      </c>
      <c r="H115" s="338"/>
      <c r="I115" s="258"/>
      <c r="J115" s="258"/>
      <c r="K115" s="379">
        <v>106744350</v>
      </c>
      <c r="L115" s="404"/>
      <c r="M115" s="362">
        <f t="shared" si="4"/>
        <v>6587490</v>
      </c>
      <c r="N115" s="376"/>
      <c r="O115" s="362">
        <f t="shared" si="5"/>
        <v>0</v>
      </c>
      <c r="P115" s="376"/>
      <c r="Q115" s="341">
        <f t="shared" si="6"/>
        <v>6.1712774493450945E-2</v>
      </c>
      <c r="R115" s="254"/>
    </row>
    <row r="116" spans="1:18" s="255" customFormat="1" x14ac:dyDescent="0.2">
      <c r="A116" s="354" t="s">
        <v>1770</v>
      </c>
      <c r="B116" s="259"/>
      <c r="C116" s="991"/>
      <c r="D116" s="259"/>
      <c r="E116" s="259"/>
      <c r="F116" s="259"/>
      <c r="G116" s="356">
        <f>SUM(G106:G115)</f>
        <v>87052085689.330002</v>
      </c>
      <c r="H116" s="338"/>
      <c r="I116" s="259"/>
      <c r="J116" s="259"/>
      <c r="K116" s="356">
        <f>SUM(K106:K115)</f>
        <v>79756491549.889984</v>
      </c>
      <c r="L116" s="379"/>
      <c r="M116" s="358">
        <f t="shared" si="4"/>
        <v>7295594139.4400177</v>
      </c>
      <c r="N116" s="376"/>
      <c r="O116" s="358">
        <f t="shared" si="5"/>
        <v>0</v>
      </c>
      <c r="P116" s="376"/>
      <c r="Q116" s="396">
        <f t="shared" si="6"/>
        <v>9.1473358439750491E-2</v>
      </c>
      <c r="R116" s="254"/>
    </row>
    <row r="117" spans="1:18" s="255" customFormat="1" ht="15" thickBot="1" x14ac:dyDescent="0.25">
      <c r="A117" s="405"/>
      <c r="B117" s="260"/>
      <c r="C117" s="992"/>
      <c r="D117" s="260"/>
      <c r="E117" s="260"/>
      <c r="F117" s="260"/>
      <c r="G117" s="406"/>
      <c r="H117" s="380"/>
      <c r="I117" s="260"/>
      <c r="J117" s="260"/>
      <c r="K117" s="406"/>
      <c r="L117" s="407"/>
      <c r="M117" s="386"/>
      <c r="N117" s="339"/>
      <c r="O117" s="386"/>
      <c r="P117" s="339"/>
      <c r="Q117" s="398"/>
      <c r="R117" s="254"/>
    </row>
    <row r="118" spans="1:18" s="255" customFormat="1" ht="15" thickTop="1" x14ac:dyDescent="0.2">
      <c r="A118" s="408" t="s">
        <v>2850</v>
      </c>
      <c r="B118" s="261"/>
      <c r="C118" s="993"/>
      <c r="D118" s="261"/>
      <c r="E118" s="261"/>
      <c r="F118" s="261"/>
      <c r="G118" s="393">
        <f>+G103+G116</f>
        <v>174028316097.44</v>
      </c>
      <c r="H118" s="380"/>
      <c r="I118" s="261"/>
      <c r="J118" s="261"/>
      <c r="K118" s="393">
        <f>+K103+K116</f>
        <v>151525164954.88</v>
      </c>
      <c r="L118" s="400"/>
      <c r="M118" s="358">
        <f>IF(G118&gt;=K118,(G118-K118),0)</f>
        <v>22503151142.559998</v>
      </c>
      <c r="N118" s="376"/>
      <c r="O118" s="358">
        <f>IF(G118&lt;=K118,(K118-G118),0)</f>
        <v>0</v>
      </c>
      <c r="P118" s="376"/>
      <c r="Q118" s="396">
        <f>IF(M118,(M118/K118),IF(O118,-(O118/K118),0))</f>
        <v>0.14851098264278947</v>
      </c>
      <c r="R118" s="254"/>
    </row>
    <row r="119" spans="1:18" s="255" customFormat="1" ht="15" thickBot="1" x14ac:dyDescent="0.25">
      <c r="A119" s="409"/>
      <c r="B119" s="261"/>
      <c r="C119" s="993"/>
      <c r="D119" s="261"/>
      <c r="E119" s="261"/>
      <c r="F119" s="261"/>
      <c r="G119" s="410"/>
      <c r="H119" s="411"/>
      <c r="I119" s="261"/>
      <c r="J119" s="261"/>
      <c r="K119" s="410"/>
      <c r="L119" s="407"/>
      <c r="M119" s="412"/>
      <c r="N119" s="339"/>
      <c r="O119" s="412"/>
      <c r="P119" s="339"/>
      <c r="Q119" s="413"/>
      <c r="R119" s="254"/>
    </row>
    <row r="120" spans="1:18" s="255" customFormat="1" ht="15" thickTop="1" x14ac:dyDescent="0.2">
      <c r="A120" s="408" t="s">
        <v>2851</v>
      </c>
      <c r="B120" s="261"/>
      <c r="C120" s="993"/>
      <c r="D120" s="261"/>
      <c r="E120" s="261"/>
      <c r="F120" s="261"/>
      <c r="G120" s="393">
        <f>+G99+G118</f>
        <v>218498477802.94</v>
      </c>
      <c r="H120" s="380"/>
      <c r="I120" s="261"/>
      <c r="J120" s="261"/>
      <c r="K120" s="393">
        <f>+K99+K118</f>
        <v>191768169105.19</v>
      </c>
      <c r="L120" s="400"/>
      <c r="M120" s="358">
        <f>IF(G120&gt;=K120,(G120-K120),0)</f>
        <v>26730308697.75</v>
      </c>
      <c r="N120" s="376"/>
      <c r="O120" s="358">
        <f>IF(G120&lt;=K120,(K120-G120),0)</f>
        <v>0</v>
      </c>
      <c r="P120" s="376"/>
      <c r="Q120" s="396">
        <f>IF(M120,(M120/K120),IF(O120,-(O120/K120),0))</f>
        <v>0.13938866300114544</v>
      </c>
      <c r="R120" s="254"/>
    </row>
    <row r="121" spans="1:18" x14ac:dyDescent="0.2">
      <c r="A121" s="414"/>
      <c r="B121" s="261"/>
      <c r="C121" s="993"/>
      <c r="D121" s="261"/>
      <c r="E121" s="261"/>
      <c r="F121" s="261"/>
      <c r="G121" s="262"/>
      <c r="H121" s="380"/>
      <c r="I121" s="261"/>
      <c r="J121" s="261"/>
      <c r="K121" s="262"/>
      <c r="L121" s="407"/>
      <c r="M121" s="339"/>
      <c r="N121" s="339"/>
      <c r="O121" s="339"/>
      <c r="P121" s="339"/>
      <c r="Q121" s="394"/>
    </row>
    <row r="122" spans="1:18" x14ac:dyDescent="0.2">
      <c r="A122" s="354" t="s">
        <v>1771</v>
      </c>
      <c r="B122" s="245"/>
      <c r="C122" s="988">
        <v>23</v>
      </c>
      <c r="D122" s="245"/>
      <c r="E122" s="245"/>
      <c r="F122" s="245"/>
      <c r="G122" s="356">
        <v>3852419813.5900002</v>
      </c>
      <c r="H122" s="380"/>
      <c r="I122" s="245"/>
      <c r="J122" s="245"/>
      <c r="K122" s="356">
        <v>1688912765.3499999</v>
      </c>
      <c r="L122" s="407"/>
      <c r="M122" s="358">
        <f>IF(G122&gt;=K122,(G122-K122),0)</f>
        <v>2163507048.2400002</v>
      </c>
      <c r="N122" s="376"/>
      <c r="O122" s="358">
        <f>IF(G122&lt;=K122,(K122-G122),0)</f>
        <v>0</v>
      </c>
      <c r="P122" s="376"/>
      <c r="Q122" s="396">
        <f>IF(M122,(M122/K122),IF(O122,-(O122/K122),0))</f>
        <v>1.2810058000785187</v>
      </c>
    </row>
    <row r="123" spans="1:18" x14ac:dyDescent="0.2">
      <c r="A123" s="244"/>
      <c r="C123" s="243"/>
      <c r="D123" s="251"/>
      <c r="E123" s="251"/>
      <c r="F123" s="251"/>
      <c r="G123" s="241"/>
      <c r="H123" s="241"/>
      <c r="I123" s="241"/>
      <c r="J123" s="241"/>
      <c r="K123" s="262"/>
      <c r="L123" s="253"/>
      <c r="M123" s="251"/>
      <c r="N123" s="251"/>
      <c r="O123" s="251"/>
      <c r="P123" s="251"/>
      <c r="Q123" s="318"/>
    </row>
    <row r="124" spans="1:18" ht="15" x14ac:dyDescent="0.2">
      <c r="C124" s="271"/>
      <c r="G124" s="316"/>
      <c r="K124" s="316"/>
    </row>
    <row r="125" spans="1:18" ht="15" x14ac:dyDescent="0.2">
      <c r="C125" s="271"/>
      <c r="G125" s="316"/>
    </row>
    <row r="126" spans="1:18" ht="15" x14ac:dyDescent="0.2">
      <c r="C126" s="271"/>
    </row>
    <row r="127" spans="1:18" ht="15" x14ac:dyDescent="0.2">
      <c r="C127" s="271"/>
    </row>
    <row r="128" spans="1:18" ht="15" x14ac:dyDescent="0.2">
      <c r="C128" s="271"/>
      <c r="Q128" s="236"/>
      <c r="R128" s="236"/>
    </row>
    <row r="129" spans="3:18" ht="15" x14ac:dyDescent="0.2">
      <c r="C129" s="271"/>
      <c r="Q129" s="236"/>
      <c r="R129" s="236"/>
    </row>
    <row r="130" spans="3:18" ht="15" x14ac:dyDescent="0.2">
      <c r="C130" s="271"/>
      <c r="Q130" s="236"/>
      <c r="R130" s="236"/>
    </row>
    <row r="131" spans="3:18" ht="15" x14ac:dyDescent="0.2">
      <c r="C131" s="271"/>
      <c r="Q131" s="236"/>
      <c r="R131" s="236"/>
    </row>
    <row r="132" spans="3:18" ht="15" x14ac:dyDescent="0.2">
      <c r="C132" s="271"/>
      <c r="Q132" s="236"/>
      <c r="R132" s="236"/>
    </row>
    <row r="133" spans="3:18" ht="15" x14ac:dyDescent="0.2">
      <c r="C133" s="271"/>
      <c r="Q133" s="236"/>
      <c r="R133" s="236"/>
    </row>
    <row r="134" spans="3:18" ht="15" x14ac:dyDescent="0.2">
      <c r="C134" s="271"/>
      <c r="Q134" s="236"/>
      <c r="R134" s="236"/>
    </row>
    <row r="135" spans="3:18" ht="15" x14ac:dyDescent="0.2">
      <c r="C135" s="271"/>
      <c r="Q135" s="236"/>
      <c r="R135" s="236"/>
    </row>
  </sheetData>
  <mergeCells count="10">
    <mergeCell ref="E71:G71"/>
    <mergeCell ref="I71:K71"/>
    <mergeCell ref="E9:G9"/>
    <mergeCell ref="I9:K9"/>
    <mergeCell ref="A1:Q1"/>
    <mergeCell ref="A2:Q2"/>
    <mergeCell ref="A3:Q3"/>
    <mergeCell ref="A5:Q5"/>
    <mergeCell ref="A6:Q6"/>
    <mergeCell ref="A7:Q7"/>
  </mergeCells>
  <phoneticPr fontId="0" type="noConversion"/>
  <pageMargins left="0.39370078740157483" right="0.19685039370078741" top="1.1811023622047245" bottom="1.1811023622047245" header="0.35433070866141736" footer="0.6692913385826772"/>
  <pageSetup scale="60" firstPageNumber="33" fitToHeight="2" orientation="portrait" r:id="rId1"/>
  <headerFooter alignWithMargins="0">
    <oddHeader xml:space="preserve">&amp;R&amp;"Arial,Negrita"&amp;K000000
</oddHead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9"/>
  <sheetViews>
    <sheetView workbookViewId="0">
      <selection activeCell="I35" sqref="I35"/>
    </sheetView>
  </sheetViews>
  <sheetFormatPr baseColWidth="10" defaultRowHeight="12.75" x14ac:dyDescent="0.2"/>
  <sheetData>
    <row r="19" spans="1:1" x14ac:dyDescent="0.2">
      <c r="A19" s="2"/>
    </row>
  </sheetData>
  <phoneticPr fontId="0" type="noConversion"/>
  <printOptions horizontalCentered="1" verticalCentered="1"/>
  <pageMargins left="0.98425196850393704" right="0.75" top="1.55" bottom="1" header="0" footer="0"/>
  <pageSetup paperSize="9" scale="95" firstPageNumber="3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149"/>
  <sheetViews>
    <sheetView topLeftCell="A11" workbookViewId="0">
      <selection activeCell="J36" sqref="J36"/>
    </sheetView>
  </sheetViews>
  <sheetFormatPr baseColWidth="10" defaultColWidth="10.85546875" defaultRowHeight="15" x14ac:dyDescent="0.25"/>
  <cols>
    <col min="1" max="1" width="43.28515625" style="124" bestFit="1" customWidth="1"/>
    <col min="2" max="2" width="16.42578125" style="128" bestFit="1" customWidth="1"/>
    <col min="3" max="3" width="2.42578125" style="124" customWidth="1"/>
    <col min="4" max="4" width="16.42578125" style="128" bestFit="1" customWidth="1"/>
    <col min="5" max="5" width="2.5703125" style="124" customWidth="1"/>
    <col min="6" max="6" width="16.42578125" style="128" bestFit="1" customWidth="1"/>
    <col min="7" max="7" width="2.85546875" style="124" customWidth="1"/>
    <col min="8" max="8" width="16.42578125" style="128" bestFit="1" customWidth="1"/>
    <col min="9" max="9" width="3.140625" style="124" bestFit="1" customWidth="1"/>
    <col min="10" max="10" width="16.42578125" style="128" customWidth="1"/>
    <col min="11" max="16384" width="10.85546875" style="124"/>
  </cols>
  <sheetData>
    <row r="1" spans="1:10" x14ac:dyDescent="0.25">
      <c r="A1" s="589" t="s">
        <v>4122</v>
      </c>
      <c r="B1" s="590"/>
      <c r="C1" s="590"/>
      <c r="D1" s="590"/>
      <c r="E1" s="590"/>
      <c r="F1" s="590"/>
      <c r="G1" s="590"/>
      <c r="H1" s="590"/>
      <c r="I1" s="591"/>
      <c r="J1" s="1027"/>
    </row>
    <row r="2" spans="1:10" ht="26.25" x14ac:dyDescent="0.25">
      <c r="A2" s="52" t="s">
        <v>86</v>
      </c>
      <c r="B2" s="53" t="s">
        <v>90</v>
      </c>
      <c r="C2" s="592"/>
      <c r="D2" s="53" t="s">
        <v>91</v>
      </c>
      <c r="E2" s="593"/>
      <c r="F2" s="54" t="s">
        <v>694</v>
      </c>
      <c r="G2" s="594"/>
      <c r="H2" s="125" t="s">
        <v>1500</v>
      </c>
      <c r="I2" s="125"/>
      <c r="J2" s="1028" t="s">
        <v>4117</v>
      </c>
    </row>
    <row r="3" spans="1:10" x14ac:dyDescent="0.25">
      <c r="A3" s="600" t="s">
        <v>1045</v>
      </c>
      <c r="B3" s="601">
        <v>109289786.94</v>
      </c>
      <c r="C3" s="600"/>
      <c r="D3" s="601">
        <v>4090307.9</v>
      </c>
      <c r="E3" s="600"/>
      <c r="F3" s="602">
        <v>139222862.16</v>
      </c>
      <c r="G3" s="603"/>
      <c r="H3" s="602">
        <f>B3-(D3+F3)</f>
        <v>-34023383.120000005</v>
      </c>
      <c r="I3" s="604" t="s">
        <v>3387</v>
      </c>
      <c r="J3" s="599">
        <f>(F3+D3)/B3</f>
        <v>1.3113134728561491</v>
      </c>
    </row>
    <row r="4" spans="1:10" x14ac:dyDescent="0.25">
      <c r="A4" s="600" t="s">
        <v>1046</v>
      </c>
      <c r="B4" s="601">
        <v>342956054.35000002</v>
      </c>
      <c r="C4" s="600"/>
      <c r="D4" s="601">
        <v>298689291.60000002</v>
      </c>
      <c r="E4" s="593"/>
      <c r="F4" s="602">
        <v>219785751</v>
      </c>
      <c r="G4" s="597"/>
      <c r="H4" s="602">
        <f t="shared" ref="H4:H20" si="0">B4-(D4+F4)</f>
        <v>-175518988.25</v>
      </c>
      <c r="I4" s="604" t="s">
        <v>3387</v>
      </c>
      <c r="J4" s="599">
        <f t="shared" ref="J4:J20" si="1">(F4+D4)/B4</f>
        <v>1.511782737245035</v>
      </c>
    </row>
    <row r="5" spans="1:10" x14ac:dyDescent="0.25">
      <c r="A5" s="600" t="s">
        <v>1047</v>
      </c>
      <c r="B5" s="601">
        <v>1774801133.3499999</v>
      </c>
      <c r="C5" s="600"/>
      <c r="D5" s="601">
        <v>154653055.19999999</v>
      </c>
      <c r="E5" s="593"/>
      <c r="F5" s="602">
        <v>313587622.22000003</v>
      </c>
      <c r="G5" s="597"/>
      <c r="H5" s="602">
        <f t="shared" si="0"/>
        <v>1306560455.9299998</v>
      </c>
      <c r="I5" s="604" t="s">
        <v>468</v>
      </c>
      <c r="J5" s="599">
        <f t="shared" si="1"/>
        <v>0.26382712328799296</v>
      </c>
    </row>
    <row r="6" spans="1:10" x14ac:dyDescent="0.25">
      <c r="A6" s="600" t="s">
        <v>1048</v>
      </c>
      <c r="B6" s="601">
        <v>350986548.64999998</v>
      </c>
      <c r="C6" s="600"/>
      <c r="D6" s="601">
        <v>109328776.95</v>
      </c>
      <c r="E6" s="593"/>
      <c r="F6" s="602">
        <v>55974742.829999998</v>
      </c>
      <c r="G6" s="597"/>
      <c r="H6" s="602">
        <f t="shared" si="0"/>
        <v>185683028.86999997</v>
      </c>
      <c r="I6" s="605"/>
      <c r="J6" s="599">
        <f t="shared" si="1"/>
        <v>0.47096824768871387</v>
      </c>
    </row>
    <row r="7" spans="1:10" x14ac:dyDescent="0.25">
      <c r="A7" s="600" t="s">
        <v>43</v>
      </c>
      <c r="B7" s="601">
        <v>1859347706.7</v>
      </c>
      <c r="C7" s="600"/>
      <c r="D7" s="601">
        <v>697053500.85000002</v>
      </c>
      <c r="E7" s="593"/>
      <c r="F7" s="602">
        <v>888352567.71000004</v>
      </c>
      <c r="G7" s="597"/>
      <c r="H7" s="602">
        <f t="shared" si="0"/>
        <v>273941638.1400001</v>
      </c>
      <c r="I7" s="605"/>
      <c r="J7" s="599">
        <f t="shared" si="1"/>
        <v>0.85266788070199306</v>
      </c>
    </row>
    <row r="8" spans="1:10" x14ac:dyDescent="0.25">
      <c r="A8" s="600" t="s">
        <v>1049</v>
      </c>
      <c r="B8" s="601">
        <v>493087269.85000002</v>
      </c>
      <c r="C8" s="600"/>
      <c r="D8" s="601">
        <v>441651310.30000001</v>
      </c>
      <c r="E8" s="593"/>
      <c r="F8" s="602">
        <v>170763933.43000001</v>
      </c>
      <c r="G8" s="597"/>
      <c r="H8" s="602">
        <f t="shared" si="0"/>
        <v>-119327973.88</v>
      </c>
      <c r="I8" s="604" t="s">
        <v>3387</v>
      </c>
      <c r="J8" s="599">
        <f t="shared" si="1"/>
        <v>1.2420017331136946</v>
      </c>
    </row>
    <row r="9" spans="1:10" x14ac:dyDescent="0.25">
      <c r="A9" s="600" t="s">
        <v>1050</v>
      </c>
      <c r="B9" s="601">
        <v>2804231619.7399998</v>
      </c>
      <c r="C9" s="600"/>
      <c r="D9" s="601">
        <v>1574207496.3399999</v>
      </c>
      <c r="E9" s="593"/>
      <c r="F9" s="602">
        <v>1085455850.6700001</v>
      </c>
      <c r="G9" s="597"/>
      <c r="H9" s="602">
        <f t="shared" si="0"/>
        <v>144568272.72999954</v>
      </c>
      <c r="I9" s="605"/>
      <c r="J9" s="599">
        <f t="shared" si="1"/>
        <v>0.94844638662786229</v>
      </c>
    </row>
    <row r="10" spans="1:10" x14ac:dyDescent="0.25">
      <c r="A10" s="600" t="s">
        <v>68</v>
      </c>
      <c r="B10" s="601">
        <v>1016021524.76</v>
      </c>
      <c r="C10" s="600"/>
      <c r="D10" s="601">
        <v>245409447.69999999</v>
      </c>
      <c r="E10" s="593"/>
      <c r="F10" s="602">
        <v>476179556.13</v>
      </c>
      <c r="G10" s="597"/>
      <c r="H10" s="602">
        <f t="shared" si="0"/>
        <v>294432520.93000007</v>
      </c>
      <c r="I10" s="605"/>
      <c r="J10" s="599">
        <f t="shared" si="1"/>
        <v>0.71021035110496344</v>
      </c>
    </row>
    <row r="11" spans="1:10" x14ac:dyDescent="0.25">
      <c r="A11" s="600" t="s">
        <v>69</v>
      </c>
      <c r="B11" s="601">
        <v>399102847</v>
      </c>
      <c r="C11" s="600"/>
      <c r="D11" s="601">
        <v>68980203.549999997</v>
      </c>
      <c r="E11" s="593"/>
      <c r="F11" s="602">
        <v>169612362.15000001</v>
      </c>
      <c r="G11" s="597"/>
      <c r="H11" s="602">
        <f t="shared" si="0"/>
        <v>160510281.30000001</v>
      </c>
      <c r="I11" s="605"/>
      <c r="J11" s="599">
        <f t="shared" si="1"/>
        <v>0.59782225933356969</v>
      </c>
    </row>
    <row r="12" spans="1:10" x14ac:dyDescent="0.25">
      <c r="A12" s="600" t="s">
        <v>1708</v>
      </c>
      <c r="B12" s="601">
        <v>1859216074</v>
      </c>
      <c r="C12" s="600"/>
      <c r="D12" s="601">
        <v>1451563298.2</v>
      </c>
      <c r="E12" s="593"/>
      <c r="F12" s="602">
        <v>244421916.52000001</v>
      </c>
      <c r="G12" s="597"/>
      <c r="H12" s="602">
        <f t="shared" si="0"/>
        <v>163230859.27999997</v>
      </c>
      <c r="I12" s="605"/>
      <c r="J12" s="599">
        <f t="shared" si="1"/>
        <v>0.91220447071070232</v>
      </c>
    </row>
    <row r="13" spans="1:10" x14ac:dyDescent="0.25">
      <c r="A13" s="600" t="s">
        <v>67</v>
      </c>
      <c r="B13" s="601">
        <v>70532297.299999997</v>
      </c>
      <c r="C13" s="600"/>
      <c r="D13" s="601">
        <v>27238142.300000001</v>
      </c>
      <c r="E13" s="593"/>
      <c r="F13" s="602">
        <v>6160798.25</v>
      </c>
      <c r="G13" s="597"/>
      <c r="H13" s="602">
        <f t="shared" si="0"/>
        <v>37133356.75</v>
      </c>
      <c r="I13" s="605"/>
      <c r="J13" s="599">
        <f t="shared" si="1"/>
        <v>0.47352690651690998</v>
      </c>
    </row>
    <row r="14" spans="1:10" x14ac:dyDescent="0.25">
      <c r="A14" s="603" t="s">
        <v>70</v>
      </c>
      <c r="B14" s="601">
        <v>5785021107.3599997</v>
      </c>
      <c r="C14" s="606"/>
      <c r="D14" s="601">
        <v>250187465.59999999</v>
      </c>
      <c r="E14" s="607"/>
      <c r="F14" s="602">
        <v>259268452.19999999</v>
      </c>
      <c r="G14" s="597"/>
      <c r="H14" s="602">
        <f t="shared" si="0"/>
        <v>5275565189.5599995</v>
      </c>
      <c r="I14" s="605"/>
      <c r="J14" s="599">
        <f t="shared" si="1"/>
        <v>8.8064660153416574E-2</v>
      </c>
    </row>
    <row r="15" spans="1:10" x14ac:dyDescent="0.25">
      <c r="A15" s="603" t="s">
        <v>471</v>
      </c>
      <c r="B15" s="601">
        <v>109195947.03</v>
      </c>
      <c r="C15" s="606"/>
      <c r="D15" s="601">
        <v>77814738.299999997</v>
      </c>
      <c r="E15" s="607"/>
      <c r="F15" s="602">
        <v>139430458.72999999</v>
      </c>
      <c r="G15" s="597"/>
      <c r="H15" s="602">
        <f t="shared" si="0"/>
        <v>-108049249.99999997</v>
      </c>
      <c r="I15" s="604" t="s">
        <v>3387</v>
      </c>
      <c r="J15" s="599">
        <f t="shared" si="1"/>
        <v>1.9894987216907878</v>
      </c>
    </row>
    <row r="16" spans="1:10" x14ac:dyDescent="0.25">
      <c r="A16" s="603" t="s">
        <v>1334</v>
      </c>
      <c r="B16" s="601">
        <v>159586</v>
      </c>
      <c r="C16" s="606"/>
      <c r="D16" s="601">
        <v>475500</v>
      </c>
      <c r="E16" s="607"/>
      <c r="F16" s="602">
        <v>51507454.850000001</v>
      </c>
      <c r="G16" s="597"/>
      <c r="H16" s="602">
        <f t="shared" si="0"/>
        <v>-51823368.850000001</v>
      </c>
      <c r="I16" s="604" t="s">
        <v>3387</v>
      </c>
      <c r="J16" s="599">
        <f t="shared" si="1"/>
        <v>325.73631051596004</v>
      </c>
    </row>
    <row r="17" spans="1:10" x14ac:dyDescent="0.25">
      <c r="A17" s="603" t="s">
        <v>3528</v>
      </c>
      <c r="B17" s="601">
        <v>6270000</v>
      </c>
      <c r="C17" s="606"/>
      <c r="D17" s="601">
        <v>0</v>
      </c>
      <c r="E17" s="607"/>
      <c r="F17" s="602">
        <v>6270000</v>
      </c>
      <c r="G17" s="597"/>
      <c r="H17" s="602">
        <f>B17-(D17+F17)</f>
        <v>0</v>
      </c>
      <c r="I17" s="605"/>
      <c r="J17" s="599">
        <f>(F17+D17)/B17</f>
        <v>1</v>
      </c>
    </row>
    <row r="18" spans="1:10" x14ac:dyDescent="0.25">
      <c r="A18" s="603" t="s">
        <v>470</v>
      </c>
      <c r="B18" s="601">
        <v>71642881.120000005</v>
      </c>
      <c r="C18" s="606"/>
      <c r="D18" s="601">
        <v>27844648</v>
      </c>
      <c r="E18" s="607"/>
      <c r="F18" s="602">
        <v>38217807.020000003</v>
      </c>
      <c r="G18" s="597"/>
      <c r="H18" s="602">
        <f t="shared" si="0"/>
        <v>5580426.1000000015</v>
      </c>
      <c r="I18" s="605"/>
      <c r="J18" s="599">
        <f t="shared" si="1"/>
        <v>0.92210773753427189</v>
      </c>
    </row>
    <row r="19" spans="1:10" x14ac:dyDescent="0.25">
      <c r="A19" s="600" t="s">
        <v>754</v>
      </c>
      <c r="B19" s="601">
        <v>106462167</v>
      </c>
      <c r="C19" s="606"/>
      <c r="D19" s="601">
        <v>164791088.75</v>
      </c>
      <c r="E19" s="607"/>
      <c r="F19" s="602">
        <v>80319382.319999993</v>
      </c>
      <c r="G19" s="597"/>
      <c r="H19" s="602">
        <f t="shared" si="0"/>
        <v>-138648304.06999999</v>
      </c>
      <c r="I19" s="604" t="s">
        <v>3387</v>
      </c>
      <c r="J19" s="599">
        <f t="shared" si="1"/>
        <v>2.3023246471208876</v>
      </c>
    </row>
    <row r="20" spans="1:10" x14ac:dyDescent="0.25">
      <c r="A20" s="600" t="s">
        <v>915</v>
      </c>
      <c r="B20" s="608">
        <v>10000000</v>
      </c>
      <c r="C20" s="606"/>
      <c r="D20" s="608">
        <v>1816106.5</v>
      </c>
      <c r="E20" s="607"/>
      <c r="F20" s="609">
        <v>0</v>
      </c>
      <c r="G20" s="597"/>
      <c r="H20" s="609">
        <f t="shared" si="0"/>
        <v>8183893.5</v>
      </c>
      <c r="I20" s="610"/>
      <c r="J20" s="611">
        <f t="shared" si="1"/>
        <v>0.18161065000000001</v>
      </c>
    </row>
    <row r="21" spans="1:10" x14ac:dyDescent="0.25">
      <c r="A21" s="55" t="s">
        <v>71</v>
      </c>
      <c r="B21" s="126">
        <f>SUM(B3:B20)</f>
        <v>17168324551.150002</v>
      </c>
      <c r="C21" s="600"/>
      <c r="D21" s="126">
        <f>SUM(D3:D20)</f>
        <v>5595794378.0400009</v>
      </c>
      <c r="E21" s="600"/>
      <c r="F21" s="126">
        <f>SUM(F3:F20)</f>
        <v>4344531518.1900005</v>
      </c>
      <c r="G21" s="600"/>
      <c r="H21" s="126">
        <f>SUM(H3:H20)</f>
        <v>7227998654.9199991</v>
      </c>
      <c r="I21" s="612"/>
      <c r="J21" s="613">
        <f>(F21+D21)/B21</f>
        <v>0.57899219382849798</v>
      </c>
    </row>
    <row r="22" spans="1:10" x14ac:dyDescent="0.25">
      <c r="A22" s="55"/>
      <c r="B22" s="126"/>
      <c r="C22" s="600"/>
      <c r="D22" s="126"/>
      <c r="E22" s="600"/>
      <c r="F22" s="126"/>
      <c r="G22" s="600"/>
      <c r="H22" s="126"/>
      <c r="I22" s="612"/>
      <c r="J22" s="613"/>
    </row>
    <row r="23" spans="1:10" x14ac:dyDescent="0.25">
      <c r="A23" s="55" t="s">
        <v>72</v>
      </c>
      <c r="B23" s="596"/>
      <c r="C23" s="55"/>
      <c r="D23" s="596"/>
      <c r="E23" s="593"/>
      <c r="F23" s="614"/>
      <c r="G23" s="615"/>
      <c r="H23" s="598"/>
      <c r="I23" s="591"/>
      <c r="J23" s="599"/>
    </row>
    <row r="24" spans="1:10" x14ac:dyDescent="0.25">
      <c r="A24" s="55" t="s">
        <v>323</v>
      </c>
      <c r="B24" s="596"/>
      <c r="C24" s="55"/>
      <c r="D24" s="596"/>
      <c r="E24" s="593"/>
      <c r="F24" s="614"/>
      <c r="G24" s="615"/>
      <c r="H24" s="598"/>
      <c r="I24" s="591"/>
      <c r="J24" s="599"/>
    </row>
    <row r="25" spans="1:10" x14ac:dyDescent="0.25">
      <c r="A25" s="600" t="s">
        <v>1045</v>
      </c>
      <c r="B25" s="614">
        <v>7325000</v>
      </c>
      <c r="C25" s="600"/>
      <c r="D25" s="614">
        <v>1363600</v>
      </c>
      <c r="E25" s="600"/>
      <c r="F25" s="614">
        <v>0</v>
      </c>
      <c r="G25" s="603"/>
      <c r="H25" s="602">
        <f t="shared" ref="H25:H40" si="2">B25-(D25+F25)</f>
        <v>5961400</v>
      </c>
      <c r="I25" s="605"/>
      <c r="J25" s="599">
        <f t="shared" ref="J25:J40" si="3">(F25+D25)/B25</f>
        <v>0.18615699658703072</v>
      </c>
    </row>
    <row r="26" spans="1:10" x14ac:dyDescent="0.25">
      <c r="A26" s="600" t="s">
        <v>1046</v>
      </c>
      <c r="B26" s="614">
        <v>37000000</v>
      </c>
      <c r="C26" s="600"/>
      <c r="D26" s="614">
        <v>0</v>
      </c>
      <c r="E26" s="593"/>
      <c r="F26" s="614">
        <v>13988658.5</v>
      </c>
      <c r="G26" s="615"/>
      <c r="H26" s="602">
        <f t="shared" si="2"/>
        <v>23011341.5</v>
      </c>
      <c r="I26" s="605"/>
      <c r="J26" s="599">
        <f t="shared" si="3"/>
        <v>0.37807185135135135</v>
      </c>
    </row>
    <row r="27" spans="1:10" x14ac:dyDescent="0.25">
      <c r="A27" s="600" t="s">
        <v>1047</v>
      </c>
      <c r="B27" s="614">
        <v>621300.15</v>
      </c>
      <c r="C27" s="600"/>
      <c r="D27" s="614">
        <v>121300.15</v>
      </c>
      <c r="E27" s="593"/>
      <c r="F27" s="614">
        <v>0</v>
      </c>
      <c r="G27" s="615"/>
      <c r="H27" s="602">
        <f t="shared" si="2"/>
        <v>500000</v>
      </c>
      <c r="I27" s="605"/>
      <c r="J27" s="599">
        <f t="shared" si="3"/>
        <v>0.19523599020537818</v>
      </c>
    </row>
    <row r="28" spans="1:10" x14ac:dyDescent="0.25">
      <c r="A28" s="600" t="s">
        <v>1048</v>
      </c>
      <c r="B28" s="614">
        <v>4476000</v>
      </c>
      <c r="C28" s="600"/>
      <c r="D28" s="614">
        <v>1931270.1</v>
      </c>
      <c r="E28" s="593"/>
      <c r="F28" s="614">
        <v>402850</v>
      </c>
      <c r="G28" s="615"/>
      <c r="H28" s="602">
        <f t="shared" si="2"/>
        <v>2141879.9</v>
      </c>
      <c r="I28" s="605"/>
      <c r="J28" s="599">
        <f t="shared" si="3"/>
        <v>0.52147455317247549</v>
      </c>
    </row>
    <row r="29" spans="1:10" x14ac:dyDescent="0.25">
      <c r="A29" s="600" t="s">
        <v>43</v>
      </c>
      <c r="B29" s="614">
        <v>4567098.8</v>
      </c>
      <c r="C29" s="600"/>
      <c r="D29" s="614">
        <v>8545115.25</v>
      </c>
      <c r="E29" s="593"/>
      <c r="F29" s="614">
        <v>5191795</v>
      </c>
      <c r="G29" s="615"/>
      <c r="H29" s="602">
        <f t="shared" si="2"/>
        <v>-9169811.4499999993</v>
      </c>
      <c r="I29" s="604" t="s">
        <v>3511</v>
      </c>
      <c r="J29" s="599">
        <f t="shared" si="3"/>
        <v>3.0077979153855838</v>
      </c>
    </row>
    <row r="30" spans="1:10" x14ac:dyDescent="0.25">
      <c r="A30" s="600" t="s">
        <v>1049</v>
      </c>
      <c r="B30" s="614">
        <v>200000</v>
      </c>
      <c r="C30" s="600"/>
      <c r="D30" s="614">
        <v>0</v>
      </c>
      <c r="E30" s="593"/>
      <c r="F30" s="614">
        <v>120228.4</v>
      </c>
      <c r="G30" s="615"/>
      <c r="H30" s="602">
        <f t="shared" si="2"/>
        <v>79771.600000000006</v>
      </c>
      <c r="I30" s="605"/>
      <c r="J30" s="599">
        <f t="shared" si="3"/>
        <v>0.60114199999999995</v>
      </c>
    </row>
    <row r="31" spans="1:10" x14ac:dyDescent="0.25">
      <c r="A31" s="600" t="s">
        <v>1050</v>
      </c>
      <c r="B31" s="614">
        <v>236154932</v>
      </c>
      <c r="C31" s="600"/>
      <c r="D31" s="614">
        <v>189641978</v>
      </c>
      <c r="E31" s="593"/>
      <c r="F31" s="614">
        <v>12021100.35</v>
      </c>
      <c r="G31" s="615"/>
      <c r="H31" s="602">
        <f t="shared" si="2"/>
        <v>34491853.650000006</v>
      </c>
      <c r="I31" s="605"/>
      <c r="J31" s="599">
        <f t="shared" si="3"/>
        <v>0.85394396230522085</v>
      </c>
    </row>
    <row r="32" spans="1:10" x14ac:dyDescent="0.25">
      <c r="A32" s="600" t="s">
        <v>68</v>
      </c>
      <c r="B32" s="614">
        <v>2070985</v>
      </c>
      <c r="C32" s="600"/>
      <c r="D32" s="614">
        <v>8687306</v>
      </c>
      <c r="E32" s="593"/>
      <c r="F32" s="614">
        <v>0</v>
      </c>
      <c r="G32" s="615"/>
      <c r="H32" s="602">
        <f t="shared" si="2"/>
        <v>-6616321</v>
      </c>
      <c r="I32" s="604" t="s">
        <v>3511</v>
      </c>
      <c r="J32" s="599">
        <f t="shared" si="3"/>
        <v>4.1947701214639412</v>
      </c>
    </row>
    <row r="33" spans="1:10" x14ac:dyDescent="0.25">
      <c r="A33" s="600" t="s">
        <v>69</v>
      </c>
      <c r="B33" s="614">
        <v>-300000</v>
      </c>
      <c r="C33" s="600"/>
      <c r="D33" s="614">
        <v>0</v>
      </c>
      <c r="E33" s="593"/>
      <c r="F33" s="614">
        <v>0</v>
      </c>
      <c r="G33" s="615"/>
      <c r="H33" s="602">
        <f t="shared" si="2"/>
        <v>-300000</v>
      </c>
      <c r="I33" s="604" t="s">
        <v>3511</v>
      </c>
      <c r="J33" s="599">
        <f t="shared" si="3"/>
        <v>0</v>
      </c>
    </row>
    <row r="34" spans="1:10" x14ac:dyDescent="0.25">
      <c r="A34" s="600" t="s">
        <v>67</v>
      </c>
      <c r="B34" s="614">
        <v>12049200</v>
      </c>
      <c r="C34" s="600"/>
      <c r="D34" s="614">
        <v>7593725.75</v>
      </c>
      <c r="E34" s="593"/>
      <c r="F34" s="614">
        <v>0</v>
      </c>
      <c r="G34" s="615"/>
      <c r="H34" s="602">
        <f t="shared" si="2"/>
        <v>4455474.25</v>
      </c>
      <c r="I34" s="605"/>
      <c r="J34" s="599">
        <f t="shared" si="3"/>
        <v>0.6302265503103941</v>
      </c>
    </row>
    <row r="35" spans="1:10" x14ac:dyDescent="0.25">
      <c r="A35" s="603" t="s">
        <v>70</v>
      </c>
      <c r="B35" s="614">
        <v>56963524.399999999</v>
      </c>
      <c r="C35" s="600"/>
      <c r="D35" s="614">
        <v>174990</v>
      </c>
      <c r="E35" s="593"/>
      <c r="F35" s="614">
        <v>38406.5</v>
      </c>
      <c r="G35" s="615"/>
      <c r="H35" s="602">
        <f t="shared" si="2"/>
        <v>56750127.899999999</v>
      </c>
      <c r="I35" s="605"/>
      <c r="J35" s="599">
        <f t="shared" si="3"/>
        <v>3.7461955215678335E-3</v>
      </c>
    </row>
    <row r="36" spans="1:10" x14ac:dyDescent="0.25">
      <c r="A36" s="603" t="s">
        <v>471</v>
      </c>
      <c r="B36" s="614">
        <v>5000000</v>
      </c>
      <c r="C36" s="600"/>
      <c r="D36" s="614">
        <v>0</v>
      </c>
      <c r="E36" s="593"/>
      <c r="F36" s="614">
        <v>0</v>
      </c>
      <c r="G36" s="615"/>
      <c r="H36" s="602">
        <f t="shared" si="2"/>
        <v>5000000</v>
      </c>
      <c r="I36" s="605"/>
      <c r="J36" s="599">
        <f t="shared" si="3"/>
        <v>0</v>
      </c>
    </row>
    <row r="37" spans="1:10" x14ac:dyDescent="0.25">
      <c r="A37" s="603" t="s">
        <v>1334</v>
      </c>
      <c r="B37" s="601">
        <v>5000000</v>
      </c>
      <c r="C37" s="606"/>
      <c r="D37" s="601">
        <v>0</v>
      </c>
      <c r="E37" s="607"/>
      <c r="F37" s="602">
        <v>0</v>
      </c>
      <c r="G37" s="597"/>
      <c r="H37" s="602">
        <f t="shared" si="2"/>
        <v>5000000</v>
      </c>
      <c r="I37" s="605"/>
      <c r="J37" s="599">
        <f t="shared" si="3"/>
        <v>0</v>
      </c>
    </row>
    <row r="38" spans="1:10" x14ac:dyDescent="0.25">
      <c r="A38" s="603" t="s">
        <v>470</v>
      </c>
      <c r="B38" s="601">
        <v>0</v>
      </c>
      <c r="C38" s="606"/>
      <c r="D38" s="601">
        <v>0</v>
      </c>
      <c r="E38" s="607"/>
      <c r="F38" s="602">
        <v>920600</v>
      </c>
      <c r="G38" s="597"/>
      <c r="H38" s="602">
        <f t="shared" si="2"/>
        <v>-920600</v>
      </c>
      <c r="I38" s="604" t="s">
        <v>3511</v>
      </c>
      <c r="J38" s="616" t="s">
        <v>3529</v>
      </c>
    </row>
    <row r="39" spans="1:10" x14ac:dyDescent="0.25">
      <c r="A39" s="600" t="s">
        <v>754</v>
      </c>
      <c r="B39" s="614">
        <v>1783537.64</v>
      </c>
      <c r="C39" s="600"/>
      <c r="D39" s="614">
        <v>408820</v>
      </c>
      <c r="E39" s="593"/>
      <c r="F39" s="614">
        <v>0</v>
      </c>
      <c r="G39" s="615"/>
      <c r="H39" s="602">
        <f t="shared" si="2"/>
        <v>1374717.64</v>
      </c>
      <c r="I39" s="605"/>
      <c r="J39" s="599">
        <f t="shared" si="3"/>
        <v>0.22921859950205481</v>
      </c>
    </row>
    <row r="40" spans="1:10" x14ac:dyDescent="0.25">
      <c r="A40" s="600" t="s">
        <v>1502</v>
      </c>
      <c r="B40" s="617">
        <v>1000000</v>
      </c>
      <c r="C40" s="600"/>
      <c r="D40" s="617">
        <v>0</v>
      </c>
      <c r="E40" s="593"/>
      <c r="F40" s="609">
        <v>0</v>
      </c>
      <c r="G40" s="615"/>
      <c r="H40" s="609">
        <f t="shared" si="2"/>
        <v>1000000</v>
      </c>
      <c r="I40" s="605"/>
      <c r="J40" s="611">
        <f t="shared" si="3"/>
        <v>0</v>
      </c>
    </row>
    <row r="41" spans="1:10" x14ac:dyDescent="0.25">
      <c r="A41" s="55" t="s">
        <v>73</v>
      </c>
      <c r="B41" s="56">
        <f>SUM(B25:B40)</f>
        <v>373911577.98999995</v>
      </c>
      <c r="C41" s="56"/>
      <c r="D41" s="56">
        <f>SUM(D25:D40)</f>
        <v>218468105.25</v>
      </c>
      <c r="E41" s="56"/>
      <c r="F41" s="56">
        <f>SUM(F25:F40)</f>
        <v>32683638.75</v>
      </c>
      <c r="G41" s="56"/>
      <c r="H41" s="56">
        <f>SUM(H25:H40)</f>
        <v>122759833.98999999</v>
      </c>
      <c r="I41" s="56"/>
      <c r="J41" s="613">
        <f>(F41+D41)/B41</f>
        <v>0.6716875293086455</v>
      </c>
    </row>
    <row r="42" spans="1:10" x14ac:dyDescent="0.25">
      <c r="A42" s="55"/>
      <c r="B42" s="56"/>
      <c r="C42" s="56"/>
      <c r="D42" s="56"/>
      <c r="E42" s="56"/>
      <c r="F42" s="56"/>
      <c r="G42" s="56"/>
      <c r="H42" s="56"/>
      <c r="I42" s="56"/>
      <c r="J42" s="613"/>
    </row>
    <row r="43" spans="1:10" x14ac:dyDescent="0.25">
      <c r="A43" s="55" t="s">
        <v>4123</v>
      </c>
      <c r="B43" s="596"/>
      <c r="C43" s="55"/>
      <c r="D43" s="596"/>
      <c r="E43" s="593"/>
      <c r="F43" s="614"/>
      <c r="G43" s="615"/>
      <c r="H43" s="598"/>
      <c r="I43" s="591"/>
      <c r="J43" s="599"/>
    </row>
    <row r="44" spans="1:10" x14ac:dyDescent="0.25">
      <c r="A44" s="52" t="s">
        <v>389</v>
      </c>
      <c r="B44" s="596"/>
      <c r="C44" s="55"/>
      <c r="D44" s="596"/>
      <c r="E44" s="593"/>
      <c r="F44" s="614"/>
      <c r="G44" s="615"/>
      <c r="H44" s="598"/>
      <c r="I44" s="591"/>
      <c r="J44" s="599"/>
    </row>
    <row r="45" spans="1:10" x14ac:dyDescent="0.25">
      <c r="A45" s="600" t="s">
        <v>471</v>
      </c>
      <c r="B45" s="614">
        <v>14026888359.049999</v>
      </c>
      <c r="C45" s="600"/>
      <c r="D45" s="614">
        <v>1413348957</v>
      </c>
      <c r="E45" s="600"/>
      <c r="F45" s="614">
        <v>1967991287.95</v>
      </c>
      <c r="G45" s="600"/>
      <c r="H45" s="602">
        <f>B45-(D45+F45)</f>
        <v>10645548114.099998</v>
      </c>
      <c r="I45" s="610"/>
      <c r="J45" s="599">
        <f t="shared" ref="J45:J50" si="4">(F45+D45)/B45</f>
        <v>0.24106132154166574</v>
      </c>
    </row>
    <row r="46" spans="1:10" x14ac:dyDescent="0.25">
      <c r="A46" s="600" t="s">
        <v>1334</v>
      </c>
      <c r="B46" s="614">
        <v>1005000000</v>
      </c>
      <c r="C46" s="600"/>
      <c r="D46" s="614">
        <v>15522461</v>
      </c>
      <c r="E46" s="600"/>
      <c r="F46" s="614">
        <v>30000</v>
      </c>
      <c r="G46" s="600"/>
      <c r="H46" s="602">
        <f>B46-(D46+F46)</f>
        <v>989447539</v>
      </c>
      <c r="I46" s="610"/>
      <c r="J46" s="599">
        <f t="shared" si="4"/>
        <v>1.5475085572139304E-2</v>
      </c>
    </row>
    <row r="47" spans="1:10" x14ac:dyDescent="0.25">
      <c r="A47" s="600" t="s">
        <v>470</v>
      </c>
      <c r="B47" s="614">
        <v>897525234.62</v>
      </c>
      <c r="C47" s="600"/>
      <c r="D47" s="614">
        <v>0</v>
      </c>
      <c r="E47" s="593"/>
      <c r="F47" s="614">
        <v>121675460</v>
      </c>
      <c r="G47" s="615"/>
      <c r="H47" s="602">
        <f>B47-(D47+F47)</f>
        <v>775849774.62</v>
      </c>
      <c r="I47" s="610"/>
      <c r="J47" s="599">
        <f t="shared" si="4"/>
        <v>0.13556773147611359</v>
      </c>
    </row>
    <row r="48" spans="1:10" x14ac:dyDescent="0.25">
      <c r="A48" s="600" t="s">
        <v>754</v>
      </c>
      <c r="B48" s="614">
        <v>1354808865.5</v>
      </c>
      <c r="C48" s="600"/>
      <c r="D48" s="614">
        <v>160317944.69999999</v>
      </c>
      <c r="E48" s="593"/>
      <c r="F48" s="614">
        <v>221801377.84999999</v>
      </c>
      <c r="G48" s="615"/>
      <c r="H48" s="602">
        <f>B48-(D48+F48)</f>
        <v>972689542.95000005</v>
      </c>
      <c r="I48" s="610"/>
      <c r="J48" s="599">
        <f t="shared" si="4"/>
        <v>0.28204666523862509</v>
      </c>
    </row>
    <row r="49" spans="1:10" x14ac:dyDescent="0.25">
      <c r="A49" s="600" t="s">
        <v>472</v>
      </c>
      <c r="B49" s="617">
        <v>30000000</v>
      </c>
      <c r="C49" s="600"/>
      <c r="D49" s="617">
        <v>0</v>
      </c>
      <c r="E49" s="593"/>
      <c r="F49" s="617">
        <v>165600000</v>
      </c>
      <c r="G49" s="615"/>
      <c r="H49" s="617">
        <f>B49-(D49+F49)</f>
        <v>-135600000</v>
      </c>
      <c r="I49" s="604" t="s">
        <v>3387</v>
      </c>
      <c r="J49" s="611">
        <f t="shared" si="4"/>
        <v>5.52</v>
      </c>
    </row>
    <row r="50" spans="1:10" x14ac:dyDescent="0.25">
      <c r="A50" s="55" t="s">
        <v>74</v>
      </c>
      <c r="B50" s="57">
        <f>SUM(B45:B49)</f>
        <v>17314222459.169998</v>
      </c>
      <c r="C50" s="57"/>
      <c r="D50" s="57">
        <f>SUM(D45:D49)</f>
        <v>1589189362.7</v>
      </c>
      <c r="E50" s="57"/>
      <c r="F50" s="57">
        <f>SUM(F45:F49)</f>
        <v>2477098125.8000002</v>
      </c>
      <c r="G50" s="57"/>
      <c r="H50" s="57">
        <f>SUM(H45:H49)</f>
        <v>13247934970.67</v>
      </c>
      <c r="I50" s="57"/>
      <c r="J50" s="613">
        <f t="shared" si="4"/>
        <v>0.23485244561741225</v>
      </c>
    </row>
    <row r="51" spans="1:10" x14ac:dyDescent="0.25">
      <c r="A51" s="55"/>
      <c r="B51" s="57"/>
      <c r="C51" s="57"/>
      <c r="D51" s="57"/>
      <c r="E51" s="57"/>
      <c r="F51" s="57"/>
      <c r="G51" s="57"/>
      <c r="H51" s="57"/>
      <c r="I51" s="57"/>
      <c r="J51" s="613"/>
    </row>
    <row r="52" spans="1:10" x14ac:dyDescent="0.25">
      <c r="A52" s="619" t="s">
        <v>75</v>
      </c>
      <c r="B52" s="596"/>
      <c r="C52" s="619"/>
      <c r="D52" s="596"/>
      <c r="E52" s="593"/>
      <c r="F52" s="614"/>
      <c r="G52" s="615"/>
      <c r="H52" s="598"/>
      <c r="I52" s="591"/>
      <c r="J52" s="599"/>
    </row>
    <row r="53" spans="1:10" x14ac:dyDescent="0.25">
      <c r="A53" s="619" t="s">
        <v>1390</v>
      </c>
      <c r="B53" s="596"/>
      <c r="C53" s="619"/>
      <c r="D53" s="596"/>
      <c r="E53" s="593"/>
      <c r="F53" s="614"/>
      <c r="G53" s="615"/>
      <c r="H53" s="598"/>
      <c r="I53" s="591"/>
      <c r="J53" s="599"/>
    </row>
    <row r="54" spans="1:10" x14ac:dyDescent="0.25">
      <c r="A54" s="600" t="s">
        <v>1045</v>
      </c>
      <c r="B54" s="614">
        <v>3500000</v>
      </c>
      <c r="C54" s="600"/>
      <c r="D54" s="614">
        <v>0</v>
      </c>
      <c r="E54" s="600"/>
      <c r="F54" s="614">
        <v>4520000</v>
      </c>
      <c r="G54" s="603"/>
      <c r="H54" s="602">
        <f t="shared" ref="H54:H68" si="5">B54-(D54+F54)</f>
        <v>-1020000</v>
      </c>
      <c r="I54" s="604" t="s">
        <v>3511</v>
      </c>
      <c r="J54" s="599">
        <f t="shared" ref="J54:J68" si="6">(F54+D54)/B54</f>
        <v>1.2914285714285714</v>
      </c>
    </row>
    <row r="55" spans="1:10" x14ac:dyDescent="0.25">
      <c r="A55" s="600" t="s">
        <v>1046</v>
      </c>
      <c r="B55" s="601">
        <v>35000000</v>
      </c>
      <c r="C55" s="600"/>
      <c r="D55" s="601">
        <v>47647210</v>
      </c>
      <c r="E55" s="600"/>
      <c r="F55" s="614">
        <v>1831939</v>
      </c>
      <c r="G55" s="603"/>
      <c r="H55" s="602">
        <f t="shared" si="5"/>
        <v>-14479149</v>
      </c>
      <c r="I55" s="604" t="s">
        <v>3511</v>
      </c>
      <c r="J55" s="599">
        <f t="shared" si="6"/>
        <v>1.4136899714285713</v>
      </c>
    </row>
    <row r="56" spans="1:10" x14ac:dyDescent="0.25">
      <c r="A56" s="600" t="s">
        <v>1047</v>
      </c>
      <c r="B56" s="601">
        <v>2500000</v>
      </c>
      <c r="C56" s="600"/>
      <c r="D56" s="601">
        <v>17214662</v>
      </c>
      <c r="E56" s="620"/>
      <c r="F56" s="614">
        <v>1034825.35</v>
      </c>
      <c r="G56" s="615"/>
      <c r="H56" s="602">
        <f t="shared" si="5"/>
        <v>-15749487.350000001</v>
      </c>
      <c r="I56" s="604" t="s">
        <v>3511</v>
      </c>
      <c r="J56" s="599">
        <f t="shared" si="6"/>
        <v>7.2997949400000008</v>
      </c>
    </row>
    <row r="57" spans="1:10" x14ac:dyDescent="0.25">
      <c r="A57" s="600" t="s">
        <v>1048</v>
      </c>
      <c r="B57" s="601">
        <v>23348444.07</v>
      </c>
      <c r="C57" s="600"/>
      <c r="D57" s="601">
        <v>1482255.5</v>
      </c>
      <c r="E57" s="620"/>
      <c r="F57" s="614">
        <v>5235608.9000000004</v>
      </c>
      <c r="G57" s="615"/>
      <c r="H57" s="602">
        <f t="shared" si="5"/>
        <v>16630579.67</v>
      </c>
      <c r="I57" s="610"/>
      <c r="J57" s="599">
        <f t="shared" si="6"/>
        <v>0.28772214456172968</v>
      </c>
    </row>
    <row r="58" spans="1:10" x14ac:dyDescent="0.25">
      <c r="A58" s="600" t="s">
        <v>43</v>
      </c>
      <c r="B58" s="601">
        <v>157574674.80000001</v>
      </c>
      <c r="C58" s="591"/>
      <c r="D58" s="601">
        <v>139140766.86000001</v>
      </c>
      <c r="E58" s="593"/>
      <c r="F58" s="614">
        <v>14105959.99</v>
      </c>
      <c r="G58" s="615"/>
      <c r="H58" s="602">
        <f t="shared" si="5"/>
        <v>4327947.9499999881</v>
      </c>
      <c r="I58" s="610"/>
      <c r="J58" s="599">
        <f t="shared" si="6"/>
        <v>0.97253398773950706</v>
      </c>
    </row>
    <row r="59" spans="1:10" x14ac:dyDescent="0.25">
      <c r="A59" s="600" t="s">
        <v>1049</v>
      </c>
      <c r="B59" s="601">
        <v>96000000</v>
      </c>
      <c r="C59" s="591"/>
      <c r="D59" s="601">
        <v>20950935.149999999</v>
      </c>
      <c r="E59" s="593"/>
      <c r="F59" s="614">
        <v>8844292.9499999993</v>
      </c>
      <c r="G59" s="615"/>
      <c r="H59" s="602">
        <f t="shared" si="5"/>
        <v>66204771.900000006</v>
      </c>
      <c r="I59" s="610"/>
      <c r="J59" s="599">
        <f t="shared" si="6"/>
        <v>0.31036695937499997</v>
      </c>
    </row>
    <row r="60" spans="1:10" x14ac:dyDescent="0.25">
      <c r="A60" s="600" t="s">
        <v>1050</v>
      </c>
      <c r="B60" s="601">
        <v>1637462381.72</v>
      </c>
      <c r="C60" s="600"/>
      <c r="D60" s="601">
        <v>359936563.30000001</v>
      </c>
      <c r="E60" s="593"/>
      <c r="F60" s="614">
        <v>619376888.29999995</v>
      </c>
      <c r="G60" s="615"/>
      <c r="H60" s="602">
        <f t="shared" si="5"/>
        <v>658148930.12000012</v>
      </c>
      <c r="I60" s="610"/>
      <c r="J60" s="599">
        <f t="shared" si="6"/>
        <v>0.59806775565208614</v>
      </c>
    </row>
    <row r="61" spans="1:10" x14ac:dyDescent="0.25">
      <c r="A61" s="600" t="s">
        <v>68</v>
      </c>
      <c r="B61" s="601">
        <v>75800000</v>
      </c>
      <c r="C61" s="600"/>
      <c r="D61" s="601">
        <v>779400</v>
      </c>
      <c r="E61" s="593"/>
      <c r="F61" s="614">
        <v>657056.85</v>
      </c>
      <c r="G61" s="615"/>
      <c r="H61" s="602">
        <f t="shared" si="5"/>
        <v>74363543.150000006</v>
      </c>
      <c r="I61" s="610"/>
      <c r="J61" s="599">
        <f t="shared" si="6"/>
        <v>1.8950618073878628E-2</v>
      </c>
    </row>
    <row r="62" spans="1:10" x14ac:dyDescent="0.25">
      <c r="A62" s="600" t="s">
        <v>69</v>
      </c>
      <c r="B62" s="601">
        <v>-4000000</v>
      </c>
      <c r="C62" s="600"/>
      <c r="D62" s="601">
        <v>162541.51</v>
      </c>
      <c r="E62" s="593"/>
      <c r="F62" s="614">
        <v>15592.15</v>
      </c>
      <c r="G62" s="615"/>
      <c r="H62" s="602">
        <f t="shared" si="5"/>
        <v>-4178133.66</v>
      </c>
      <c r="I62" s="604" t="s">
        <v>3511</v>
      </c>
      <c r="J62" s="599">
        <f t="shared" si="6"/>
        <v>-4.4533415E-2</v>
      </c>
    </row>
    <row r="63" spans="1:10" x14ac:dyDescent="0.25">
      <c r="A63" s="600" t="s">
        <v>3530</v>
      </c>
      <c r="B63" s="601">
        <v>10000000</v>
      </c>
      <c r="C63" s="600"/>
      <c r="D63" s="601">
        <v>0</v>
      </c>
      <c r="E63" s="593"/>
      <c r="F63" s="602">
        <v>0</v>
      </c>
      <c r="G63" s="597"/>
      <c r="H63" s="602">
        <f t="shared" si="5"/>
        <v>10000000</v>
      </c>
      <c r="I63" s="605"/>
      <c r="J63" s="599">
        <f t="shared" si="6"/>
        <v>0</v>
      </c>
    </row>
    <row r="64" spans="1:10" x14ac:dyDescent="0.25">
      <c r="A64" s="600" t="s">
        <v>67</v>
      </c>
      <c r="B64" s="601">
        <v>3051165.5</v>
      </c>
      <c r="C64" s="600"/>
      <c r="D64" s="601">
        <v>395575.2</v>
      </c>
      <c r="E64" s="593"/>
      <c r="F64" s="614">
        <v>0</v>
      </c>
      <c r="G64" s="615"/>
      <c r="H64" s="602">
        <f t="shared" si="5"/>
        <v>2655590.2999999998</v>
      </c>
      <c r="I64" s="610"/>
      <c r="J64" s="599">
        <f t="shared" si="6"/>
        <v>0.12964724463487806</v>
      </c>
    </row>
    <row r="65" spans="1:10" x14ac:dyDescent="0.25">
      <c r="A65" s="603" t="s">
        <v>70</v>
      </c>
      <c r="B65" s="601">
        <v>678472111.29999995</v>
      </c>
      <c r="C65" s="600"/>
      <c r="D65" s="601">
        <v>73623.899999999994</v>
      </c>
      <c r="E65" s="593"/>
      <c r="F65" s="614">
        <v>8031315.5300000003</v>
      </c>
      <c r="G65" s="615"/>
      <c r="H65" s="602">
        <f t="shared" si="5"/>
        <v>670367171.87</v>
      </c>
      <c r="I65" s="610"/>
      <c r="J65" s="599">
        <f t="shared" si="6"/>
        <v>1.1945869690163639E-2</v>
      </c>
    </row>
    <row r="66" spans="1:10" x14ac:dyDescent="0.25">
      <c r="A66" s="603" t="s">
        <v>471</v>
      </c>
      <c r="B66" s="601">
        <v>1543000000</v>
      </c>
      <c r="C66" s="600"/>
      <c r="D66" s="601">
        <v>121711360</v>
      </c>
      <c r="E66" s="593"/>
      <c r="F66" s="614">
        <v>802472420.89999998</v>
      </c>
      <c r="G66" s="615"/>
      <c r="H66" s="602">
        <f t="shared" si="5"/>
        <v>618816219.10000002</v>
      </c>
      <c r="I66" s="610"/>
      <c r="J66" s="599">
        <f t="shared" si="6"/>
        <v>0.59895254756966942</v>
      </c>
    </row>
    <row r="67" spans="1:10" x14ac:dyDescent="0.25">
      <c r="A67" s="600" t="s">
        <v>1334</v>
      </c>
      <c r="B67" s="601">
        <v>7000000</v>
      </c>
      <c r="C67" s="600"/>
      <c r="D67" s="601">
        <v>0</v>
      </c>
      <c r="E67" s="593"/>
      <c r="F67" s="614">
        <v>0</v>
      </c>
      <c r="G67" s="615"/>
      <c r="H67" s="602">
        <f t="shared" si="5"/>
        <v>7000000</v>
      </c>
      <c r="I67" s="610"/>
      <c r="J67" s="599">
        <f t="shared" si="6"/>
        <v>0</v>
      </c>
    </row>
    <row r="68" spans="1:10" x14ac:dyDescent="0.25">
      <c r="A68" s="600" t="s">
        <v>754</v>
      </c>
      <c r="B68" s="621">
        <v>9023966.9900000002</v>
      </c>
      <c r="C68" s="600"/>
      <c r="D68" s="621">
        <v>0</v>
      </c>
      <c r="E68" s="593"/>
      <c r="F68" s="621">
        <v>17000000</v>
      </c>
      <c r="G68" s="615"/>
      <c r="H68" s="621">
        <f t="shared" si="5"/>
        <v>-7976033.0099999998</v>
      </c>
      <c r="I68" s="604" t="s">
        <v>3511</v>
      </c>
      <c r="J68" s="611">
        <f t="shared" si="6"/>
        <v>1.8838721394746591</v>
      </c>
    </row>
    <row r="69" spans="1:10" x14ac:dyDescent="0.25">
      <c r="A69" s="55" t="s">
        <v>76</v>
      </c>
      <c r="B69" s="126">
        <f>SUM(B54:B68)</f>
        <v>4277732744.3800001</v>
      </c>
      <c r="C69" s="126"/>
      <c r="D69" s="126">
        <f>SUM(D54:D68)</f>
        <v>709494893.42000008</v>
      </c>
      <c r="E69" s="126"/>
      <c r="F69" s="126">
        <f>SUM(F54:F68)</f>
        <v>1483125899.9200001</v>
      </c>
      <c r="G69" s="126"/>
      <c r="H69" s="126">
        <f>SUM(H54:H68)</f>
        <v>2085111951.0400002</v>
      </c>
      <c r="I69" s="126"/>
      <c r="J69" s="613">
        <f>(F69+D69)/B69</f>
        <v>0.51256610086747978</v>
      </c>
    </row>
    <row r="70" spans="1:10" x14ac:dyDescent="0.25">
      <c r="A70" s="55"/>
      <c r="B70" s="126"/>
      <c r="C70" s="126"/>
      <c r="D70" s="126"/>
      <c r="E70" s="126"/>
      <c r="F70" s="126"/>
      <c r="G70" s="126"/>
      <c r="H70" s="126"/>
      <c r="I70" s="126"/>
      <c r="J70" s="613"/>
    </row>
    <row r="71" spans="1:10" x14ac:dyDescent="0.25">
      <c r="A71" s="55" t="s">
        <v>77</v>
      </c>
      <c r="B71" s="596"/>
      <c r="C71" s="55"/>
      <c r="D71" s="596"/>
      <c r="E71" s="593"/>
      <c r="F71" s="614"/>
      <c r="G71" s="615"/>
      <c r="H71" s="598"/>
      <c r="I71" s="591"/>
      <c r="J71" s="599"/>
    </row>
    <row r="72" spans="1:10" x14ac:dyDescent="0.25">
      <c r="A72" s="55" t="s">
        <v>1392</v>
      </c>
      <c r="B72" s="53"/>
      <c r="C72" s="592"/>
      <c r="D72" s="53"/>
      <c r="E72" s="593"/>
      <c r="F72" s="54"/>
      <c r="G72" s="594"/>
      <c r="H72" s="125"/>
      <c r="I72" s="125"/>
      <c r="J72" s="1028"/>
    </row>
    <row r="73" spans="1:10" x14ac:dyDescent="0.25">
      <c r="A73" s="600" t="s">
        <v>1048</v>
      </c>
      <c r="B73" s="596">
        <v>3920000</v>
      </c>
      <c r="C73" s="591"/>
      <c r="D73" s="596">
        <v>843443</v>
      </c>
      <c r="E73" s="591"/>
      <c r="F73" s="614">
        <v>291150.03000000003</v>
      </c>
      <c r="G73" s="591"/>
      <c r="H73" s="602">
        <f t="shared" ref="H73:H81" si="7">B73-(D73+F73)</f>
        <v>2785406.9699999997</v>
      </c>
      <c r="I73" s="622"/>
      <c r="J73" s="599">
        <f t="shared" ref="J73:J81" si="8">(F73+D73)/B73</f>
        <v>0.2894369974489796</v>
      </c>
    </row>
    <row r="74" spans="1:10" x14ac:dyDescent="0.25">
      <c r="A74" s="600" t="s">
        <v>43</v>
      </c>
      <c r="B74" s="596">
        <v>4255000</v>
      </c>
      <c r="C74" s="600"/>
      <c r="D74" s="596">
        <v>16878530.699999999</v>
      </c>
      <c r="E74" s="593"/>
      <c r="F74" s="614">
        <v>633655.55000000005</v>
      </c>
      <c r="G74" s="615"/>
      <c r="H74" s="602">
        <f t="shared" si="7"/>
        <v>-13257186.25</v>
      </c>
      <c r="I74" s="604" t="s">
        <v>3511</v>
      </c>
      <c r="J74" s="599">
        <f t="shared" si="8"/>
        <v>4.1156724441833141</v>
      </c>
    </row>
    <row r="75" spans="1:10" x14ac:dyDescent="0.25">
      <c r="A75" s="600" t="s">
        <v>1049</v>
      </c>
      <c r="B75" s="596">
        <v>1800000</v>
      </c>
      <c r="C75" s="600"/>
      <c r="D75" s="596">
        <v>0</v>
      </c>
      <c r="E75" s="593"/>
      <c r="F75" s="614">
        <v>0</v>
      </c>
      <c r="G75" s="615"/>
      <c r="H75" s="602">
        <f t="shared" si="7"/>
        <v>1800000</v>
      </c>
      <c r="I75" s="622"/>
      <c r="J75" s="599">
        <f t="shared" si="8"/>
        <v>0</v>
      </c>
    </row>
    <row r="76" spans="1:10" x14ac:dyDescent="0.25">
      <c r="A76" s="600" t="s">
        <v>1050</v>
      </c>
      <c r="B76" s="596">
        <v>25000000</v>
      </c>
      <c r="C76" s="600"/>
      <c r="D76" s="596">
        <v>4419550.9000000004</v>
      </c>
      <c r="E76" s="593"/>
      <c r="F76" s="614">
        <v>2243725.25</v>
      </c>
      <c r="G76" s="615"/>
      <c r="H76" s="602">
        <f t="shared" si="7"/>
        <v>18336723.850000001</v>
      </c>
      <c r="I76" s="622"/>
      <c r="J76" s="599">
        <f t="shared" si="8"/>
        <v>0.26653104599999999</v>
      </c>
    </row>
    <row r="77" spans="1:10" x14ac:dyDescent="0.25">
      <c r="A77" s="600" t="s">
        <v>68</v>
      </c>
      <c r="B77" s="596">
        <v>33500000</v>
      </c>
      <c r="C77" s="600"/>
      <c r="D77" s="596">
        <v>9743821.5999999996</v>
      </c>
      <c r="E77" s="593"/>
      <c r="F77" s="614">
        <v>13271696.15</v>
      </c>
      <c r="G77" s="615"/>
      <c r="H77" s="602">
        <f t="shared" si="7"/>
        <v>10484482.25</v>
      </c>
      <c r="I77" s="622"/>
      <c r="J77" s="599">
        <f t="shared" si="8"/>
        <v>0.68703038059701493</v>
      </c>
    </row>
    <row r="78" spans="1:10" x14ac:dyDescent="0.25">
      <c r="A78" s="600" t="s">
        <v>69</v>
      </c>
      <c r="B78" s="596">
        <v>2500000</v>
      </c>
      <c r="C78" s="600"/>
      <c r="D78" s="596">
        <v>85000</v>
      </c>
      <c r="E78" s="593"/>
      <c r="F78" s="614">
        <v>334000</v>
      </c>
      <c r="G78" s="615"/>
      <c r="H78" s="602">
        <f t="shared" si="7"/>
        <v>2081000</v>
      </c>
      <c r="I78" s="622"/>
      <c r="J78" s="599">
        <f t="shared" si="8"/>
        <v>0.1676</v>
      </c>
    </row>
    <row r="79" spans="1:10" x14ac:dyDescent="0.25">
      <c r="A79" s="600" t="s">
        <v>67</v>
      </c>
      <c r="B79" s="596">
        <v>369000</v>
      </c>
      <c r="C79" s="600"/>
      <c r="D79" s="596">
        <v>0</v>
      </c>
      <c r="E79" s="593"/>
      <c r="F79" s="614">
        <v>0</v>
      </c>
      <c r="G79" s="615"/>
      <c r="H79" s="602">
        <f t="shared" si="7"/>
        <v>369000</v>
      </c>
      <c r="I79" s="610"/>
      <c r="J79" s="599">
        <f t="shared" si="8"/>
        <v>0</v>
      </c>
    </row>
    <row r="80" spans="1:10" x14ac:dyDescent="0.25">
      <c r="A80" s="603" t="s">
        <v>70</v>
      </c>
      <c r="B80" s="596">
        <v>17500000</v>
      </c>
      <c r="C80" s="600"/>
      <c r="D80" s="596">
        <v>0</v>
      </c>
      <c r="E80" s="593"/>
      <c r="F80" s="614">
        <v>0</v>
      </c>
      <c r="G80" s="615"/>
      <c r="H80" s="602">
        <f t="shared" si="7"/>
        <v>17500000</v>
      </c>
      <c r="I80" s="610"/>
      <c r="J80" s="599">
        <f t="shared" si="8"/>
        <v>0</v>
      </c>
    </row>
    <row r="81" spans="1:10" x14ac:dyDescent="0.25">
      <c r="A81" s="603" t="s">
        <v>471</v>
      </c>
      <c r="B81" s="623">
        <v>6000000</v>
      </c>
      <c r="C81" s="600"/>
      <c r="D81" s="623">
        <v>0</v>
      </c>
      <c r="E81" s="593"/>
      <c r="F81" s="623">
        <v>0</v>
      </c>
      <c r="G81" s="615"/>
      <c r="H81" s="623">
        <f t="shared" si="7"/>
        <v>6000000</v>
      </c>
      <c r="I81" s="610"/>
      <c r="J81" s="611">
        <f t="shared" si="8"/>
        <v>0</v>
      </c>
    </row>
    <row r="82" spans="1:10" x14ac:dyDescent="0.25">
      <c r="A82" s="55" t="s">
        <v>524</v>
      </c>
      <c r="B82" s="612">
        <f>SUM(B73:B81)</f>
        <v>94844000</v>
      </c>
      <c r="C82" s="612"/>
      <c r="D82" s="612">
        <f>SUM(D73:D81)</f>
        <v>31970346.200000003</v>
      </c>
      <c r="E82" s="612"/>
      <c r="F82" s="612">
        <f>SUM(F73:F81)</f>
        <v>16774226.98</v>
      </c>
      <c r="G82" s="612"/>
      <c r="H82" s="612">
        <f>SUM(H73:H81)</f>
        <v>46099426.82</v>
      </c>
      <c r="I82" s="612"/>
      <c r="J82" s="613">
        <f>(F82+D82)/B82</f>
        <v>0.51394472164818028</v>
      </c>
    </row>
    <row r="83" spans="1:10" x14ac:dyDescent="0.25">
      <c r="A83" s="55"/>
      <c r="B83" s="612"/>
      <c r="C83" s="612"/>
      <c r="D83" s="612"/>
      <c r="E83" s="612"/>
      <c r="F83" s="612"/>
      <c r="G83" s="612"/>
      <c r="H83" s="612"/>
      <c r="I83" s="612"/>
      <c r="J83" s="613"/>
    </row>
    <row r="84" spans="1:10" x14ac:dyDescent="0.25">
      <c r="A84" s="55" t="s">
        <v>4124</v>
      </c>
      <c r="B84" s="596"/>
      <c r="C84" s="55"/>
      <c r="D84" s="596"/>
      <c r="E84" s="618"/>
      <c r="F84" s="624"/>
      <c r="G84" s="625"/>
      <c r="H84" s="598"/>
      <c r="I84" s="591"/>
      <c r="J84" s="599"/>
    </row>
    <row r="85" spans="1:10" x14ac:dyDescent="0.25">
      <c r="A85" s="55" t="s">
        <v>1503</v>
      </c>
      <c r="B85" s="596"/>
      <c r="C85" s="55"/>
      <c r="D85" s="596"/>
      <c r="E85" s="618"/>
      <c r="F85" s="624"/>
      <c r="G85" s="625"/>
      <c r="H85" s="598"/>
      <c r="I85" s="591"/>
      <c r="J85" s="599"/>
    </row>
    <row r="86" spans="1:10" x14ac:dyDescent="0.25">
      <c r="A86" s="600" t="s">
        <v>1048</v>
      </c>
      <c r="B86" s="614">
        <v>17957000</v>
      </c>
      <c r="C86" s="55"/>
      <c r="D86" s="614">
        <v>5389508.7000000002</v>
      </c>
      <c r="E86" s="618"/>
      <c r="F86" s="624">
        <v>3251171.8</v>
      </c>
      <c r="G86" s="625"/>
      <c r="H86" s="602">
        <f t="shared" ref="H86:H95" si="9">B86-(D86+F86)</f>
        <v>9316319.5</v>
      </c>
      <c r="I86" s="624"/>
      <c r="J86" s="599">
        <f t="shared" ref="J86:J95" si="10">(F86+D86)/B86</f>
        <v>0.48118730857047393</v>
      </c>
    </row>
    <row r="87" spans="1:10" x14ac:dyDescent="0.25">
      <c r="A87" s="600" t="s">
        <v>43</v>
      </c>
      <c r="B87" s="614">
        <v>56100000</v>
      </c>
      <c r="C87" s="55"/>
      <c r="D87" s="614">
        <v>23722581.399999999</v>
      </c>
      <c r="E87" s="618"/>
      <c r="F87" s="624">
        <v>6590824.6699999999</v>
      </c>
      <c r="G87" s="625"/>
      <c r="H87" s="602">
        <f t="shared" si="9"/>
        <v>25786593.93</v>
      </c>
      <c r="I87" s="624"/>
      <c r="J87" s="599">
        <f t="shared" si="10"/>
        <v>0.5403459192513369</v>
      </c>
    </row>
    <row r="88" spans="1:10" x14ac:dyDescent="0.25">
      <c r="A88" s="600" t="s">
        <v>1049</v>
      </c>
      <c r="B88" s="614">
        <v>-1000000</v>
      </c>
      <c r="C88" s="55"/>
      <c r="D88" s="614">
        <v>0</v>
      </c>
      <c r="E88" s="618"/>
      <c r="F88" s="624">
        <v>0</v>
      </c>
      <c r="G88" s="625"/>
      <c r="H88" s="602">
        <f t="shared" si="9"/>
        <v>-1000000</v>
      </c>
      <c r="I88" s="604" t="s">
        <v>3511</v>
      </c>
      <c r="J88" s="599">
        <f t="shared" si="10"/>
        <v>0</v>
      </c>
    </row>
    <row r="89" spans="1:10" x14ac:dyDescent="0.25">
      <c r="A89" s="600" t="s">
        <v>1050</v>
      </c>
      <c r="B89" s="614">
        <v>40325000</v>
      </c>
      <c r="C89" s="55"/>
      <c r="D89" s="614">
        <v>1923788.85</v>
      </c>
      <c r="E89" s="618"/>
      <c r="F89" s="624">
        <v>2716651.75</v>
      </c>
      <c r="G89" s="625"/>
      <c r="H89" s="602">
        <f t="shared" si="9"/>
        <v>35684559.399999999</v>
      </c>
      <c r="I89" s="624"/>
      <c r="J89" s="599">
        <f t="shared" si="10"/>
        <v>0.11507602231866088</v>
      </c>
    </row>
    <row r="90" spans="1:10" x14ac:dyDescent="0.25">
      <c r="A90" s="600" t="s">
        <v>68</v>
      </c>
      <c r="B90" s="614">
        <v>19253000</v>
      </c>
      <c r="C90" s="55"/>
      <c r="D90" s="614">
        <v>4703461.45</v>
      </c>
      <c r="E90" s="618"/>
      <c r="F90" s="624">
        <v>2533540</v>
      </c>
      <c r="G90" s="625"/>
      <c r="H90" s="602">
        <f t="shared" si="9"/>
        <v>12015998.550000001</v>
      </c>
      <c r="I90" s="624"/>
      <c r="J90" s="599">
        <f t="shared" si="10"/>
        <v>0.37588954708357142</v>
      </c>
    </row>
    <row r="91" spans="1:10" x14ac:dyDescent="0.25">
      <c r="A91" s="600" t="s">
        <v>69</v>
      </c>
      <c r="B91" s="614">
        <v>210000</v>
      </c>
      <c r="C91" s="55"/>
      <c r="D91" s="614">
        <v>0</v>
      </c>
      <c r="E91" s="618"/>
      <c r="F91" s="624">
        <v>0</v>
      </c>
      <c r="G91" s="625"/>
      <c r="H91" s="602">
        <f t="shared" si="9"/>
        <v>210000</v>
      </c>
      <c r="I91" s="624"/>
      <c r="J91" s="599">
        <f t="shared" si="10"/>
        <v>0</v>
      </c>
    </row>
    <row r="92" spans="1:10" x14ac:dyDescent="0.25">
      <c r="A92" s="603" t="s">
        <v>70</v>
      </c>
      <c r="B92" s="596">
        <v>15668769.550000001</v>
      </c>
      <c r="C92" s="600"/>
      <c r="D92" s="596">
        <v>0</v>
      </c>
      <c r="E92" s="593"/>
      <c r="F92" s="614">
        <v>0</v>
      </c>
      <c r="G92" s="615"/>
      <c r="H92" s="602">
        <f t="shared" si="9"/>
        <v>15668769.550000001</v>
      </c>
      <c r="I92" s="610"/>
      <c r="J92" s="599">
        <f t="shared" si="10"/>
        <v>0</v>
      </c>
    </row>
    <row r="93" spans="1:10" x14ac:dyDescent="0.25">
      <c r="A93" s="600" t="s">
        <v>67</v>
      </c>
      <c r="B93" s="614">
        <v>-30000</v>
      </c>
      <c r="C93" s="55"/>
      <c r="D93" s="614">
        <v>0</v>
      </c>
      <c r="E93" s="618"/>
      <c r="F93" s="624">
        <v>560000</v>
      </c>
      <c r="G93" s="625"/>
      <c r="H93" s="602">
        <f t="shared" si="9"/>
        <v>-590000</v>
      </c>
      <c r="I93" s="604" t="s">
        <v>3511</v>
      </c>
      <c r="J93" s="599">
        <f t="shared" si="10"/>
        <v>-18.666666666666668</v>
      </c>
    </row>
    <row r="94" spans="1:10" x14ac:dyDescent="0.25">
      <c r="A94" s="603" t="s">
        <v>470</v>
      </c>
      <c r="B94" s="601">
        <v>-3500000</v>
      </c>
      <c r="C94" s="606"/>
      <c r="D94" s="601">
        <v>0</v>
      </c>
      <c r="E94" s="607"/>
      <c r="F94" s="602">
        <v>0</v>
      </c>
      <c r="G94" s="597"/>
      <c r="H94" s="602">
        <f t="shared" si="9"/>
        <v>-3500000</v>
      </c>
      <c r="I94" s="604" t="s">
        <v>3511</v>
      </c>
      <c r="J94" s="599">
        <f t="shared" si="10"/>
        <v>0</v>
      </c>
    </row>
    <row r="95" spans="1:10" x14ac:dyDescent="0.25">
      <c r="A95" s="600" t="s">
        <v>754</v>
      </c>
      <c r="B95" s="621">
        <v>-1000000</v>
      </c>
      <c r="C95" s="55"/>
      <c r="D95" s="621">
        <v>0</v>
      </c>
      <c r="E95" s="55"/>
      <c r="F95" s="621">
        <v>0</v>
      </c>
      <c r="G95" s="55"/>
      <c r="H95" s="621">
        <f t="shared" si="9"/>
        <v>-1000000</v>
      </c>
      <c r="I95" s="604" t="s">
        <v>3511</v>
      </c>
      <c r="J95" s="611">
        <f t="shared" si="10"/>
        <v>0</v>
      </c>
    </row>
    <row r="96" spans="1:10" x14ac:dyDescent="0.25">
      <c r="A96" s="55" t="s">
        <v>4125</v>
      </c>
      <c r="B96" s="612">
        <f>SUM(B86:B95)</f>
        <v>143983769.55000001</v>
      </c>
      <c r="C96" s="612"/>
      <c r="D96" s="612">
        <f>SUM(D86:D95)</f>
        <v>35739340.399999999</v>
      </c>
      <c r="E96" s="612"/>
      <c r="F96" s="612">
        <f>SUM(F86:F95)</f>
        <v>15652188.219999999</v>
      </c>
      <c r="G96" s="612"/>
      <c r="H96" s="612">
        <f>SUM(H86:H95)</f>
        <v>92592240.929999992</v>
      </c>
      <c r="I96" s="612"/>
      <c r="J96" s="613">
        <f>(F96+D96)/B96</f>
        <v>0.35692584504917896</v>
      </c>
    </row>
    <row r="97" spans="1:10" x14ac:dyDescent="0.25">
      <c r="A97" s="55"/>
      <c r="B97" s="612"/>
      <c r="C97" s="612"/>
      <c r="D97" s="612"/>
      <c r="E97" s="612"/>
      <c r="F97" s="612"/>
      <c r="G97" s="612"/>
      <c r="H97" s="612"/>
      <c r="I97" s="612"/>
      <c r="J97" s="613"/>
    </row>
    <row r="98" spans="1:10" x14ac:dyDescent="0.25">
      <c r="A98" s="55" t="s">
        <v>4126</v>
      </c>
      <c r="B98" s="596"/>
      <c r="C98" s="55"/>
      <c r="D98" s="596"/>
      <c r="E98" s="618"/>
      <c r="F98" s="624"/>
      <c r="G98" s="625"/>
      <c r="H98" s="598"/>
      <c r="I98" s="591"/>
      <c r="J98" s="599"/>
    </row>
    <row r="99" spans="1:10" x14ac:dyDescent="0.25">
      <c r="A99" s="55" t="s">
        <v>1094</v>
      </c>
      <c r="B99" s="596"/>
      <c r="C99" s="55"/>
      <c r="D99" s="596"/>
      <c r="E99" s="618"/>
      <c r="F99" s="624"/>
      <c r="G99" s="625"/>
      <c r="H99" s="598"/>
      <c r="I99" s="591"/>
      <c r="J99" s="599"/>
    </row>
    <row r="100" spans="1:10" x14ac:dyDescent="0.25">
      <c r="A100" s="600" t="s">
        <v>1045</v>
      </c>
      <c r="B100" s="601">
        <v>59000000</v>
      </c>
      <c r="C100" s="600"/>
      <c r="D100" s="601">
        <v>30000000</v>
      </c>
      <c r="E100" s="600"/>
      <c r="F100" s="624">
        <v>0</v>
      </c>
      <c r="G100" s="603"/>
      <c r="H100" s="602">
        <f t="shared" ref="H100:H112" si="11">B100-(D100+F100)</f>
        <v>29000000</v>
      </c>
      <c r="I100" s="610"/>
      <c r="J100" s="599">
        <f t="shared" ref="J100:J113" si="12">(F100+D100)/B100</f>
        <v>0.50847457627118642</v>
      </c>
    </row>
    <row r="101" spans="1:10" x14ac:dyDescent="0.25">
      <c r="A101" s="600" t="s">
        <v>1335</v>
      </c>
      <c r="B101" s="601">
        <v>30000000</v>
      </c>
      <c r="C101" s="55"/>
      <c r="D101" s="601">
        <v>11876000</v>
      </c>
      <c r="E101" s="618"/>
      <c r="F101" s="624">
        <v>13248897.949999999</v>
      </c>
      <c r="G101" s="625"/>
      <c r="H101" s="602">
        <f t="shared" si="11"/>
        <v>4875102.0500000007</v>
      </c>
      <c r="I101" s="610"/>
      <c r="J101" s="599">
        <f t="shared" si="12"/>
        <v>0.83749659833333334</v>
      </c>
    </row>
    <row r="102" spans="1:10" x14ac:dyDescent="0.25">
      <c r="A102" s="600" t="s">
        <v>1047</v>
      </c>
      <c r="B102" s="601">
        <v>10625555</v>
      </c>
      <c r="C102" s="55"/>
      <c r="D102" s="601">
        <v>297749.8</v>
      </c>
      <c r="E102" s="618"/>
      <c r="F102" s="624">
        <v>84687.44</v>
      </c>
      <c r="G102" s="625"/>
      <c r="H102" s="602">
        <f t="shared" si="11"/>
        <v>10243117.76</v>
      </c>
      <c r="I102" s="610"/>
      <c r="J102" s="599">
        <f t="shared" si="12"/>
        <v>3.5992213112632704E-2</v>
      </c>
    </row>
    <row r="103" spans="1:10" x14ac:dyDescent="0.25">
      <c r="A103" s="600" t="s">
        <v>1048</v>
      </c>
      <c r="B103" s="601">
        <v>41993250.68</v>
      </c>
      <c r="C103" s="55"/>
      <c r="D103" s="601">
        <v>10021862.800000001</v>
      </c>
      <c r="E103" s="618"/>
      <c r="F103" s="624">
        <v>11547773.050000001</v>
      </c>
      <c r="G103" s="625"/>
      <c r="H103" s="602">
        <f t="shared" si="11"/>
        <v>20423614.829999998</v>
      </c>
      <c r="I103" s="610"/>
      <c r="J103" s="599">
        <f t="shared" si="12"/>
        <v>0.51364530015469623</v>
      </c>
    </row>
    <row r="104" spans="1:10" x14ac:dyDescent="0.25">
      <c r="A104" s="600" t="s">
        <v>43</v>
      </c>
      <c r="B104" s="601">
        <v>45000000</v>
      </c>
      <c r="C104" s="55"/>
      <c r="D104" s="601">
        <v>32883050.949999999</v>
      </c>
      <c r="E104" s="618"/>
      <c r="F104" s="624">
        <v>11039073.199999999</v>
      </c>
      <c r="G104" s="625"/>
      <c r="H104" s="602">
        <f t="shared" si="11"/>
        <v>1077875.8500000015</v>
      </c>
      <c r="I104" s="610"/>
      <c r="J104" s="599">
        <f t="shared" si="12"/>
        <v>0.97604720333333328</v>
      </c>
    </row>
    <row r="105" spans="1:10" x14ac:dyDescent="0.25">
      <c r="A105" s="600" t="s">
        <v>1049</v>
      </c>
      <c r="B105" s="601">
        <v>1200000</v>
      </c>
      <c r="C105" s="55"/>
      <c r="D105" s="601">
        <v>0</v>
      </c>
      <c r="E105" s="618"/>
      <c r="F105" s="624">
        <v>0</v>
      </c>
      <c r="G105" s="625"/>
      <c r="H105" s="602">
        <f t="shared" si="11"/>
        <v>1200000</v>
      </c>
      <c r="I105" s="610"/>
      <c r="J105" s="599">
        <f t="shared" si="12"/>
        <v>0</v>
      </c>
    </row>
    <row r="106" spans="1:10" x14ac:dyDescent="0.25">
      <c r="A106" s="600" t="s">
        <v>1050</v>
      </c>
      <c r="B106" s="601">
        <v>168874770</v>
      </c>
      <c r="C106" s="55"/>
      <c r="D106" s="601">
        <v>150132851.94</v>
      </c>
      <c r="E106" s="618"/>
      <c r="F106" s="624">
        <v>77026388.549999997</v>
      </c>
      <c r="G106" s="625"/>
      <c r="H106" s="602">
        <f t="shared" si="11"/>
        <v>-58284470.49000001</v>
      </c>
      <c r="I106" s="604" t="s">
        <v>3511</v>
      </c>
      <c r="J106" s="599">
        <f t="shared" si="12"/>
        <v>1.3451342701458602</v>
      </c>
    </row>
    <row r="107" spans="1:10" x14ac:dyDescent="0.25">
      <c r="A107" s="600" t="s">
        <v>68</v>
      </c>
      <c r="B107" s="601">
        <v>74752115</v>
      </c>
      <c r="C107" s="55"/>
      <c r="D107" s="601">
        <v>887950</v>
      </c>
      <c r="E107" s="618"/>
      <c r="F107" s="624">
        <v>12937300</v>
      </c>
      <c r="G107" s="625"/>
      <c r="H107" s="602">
        <f t="shared" si="11"/>
        <v>60926865</v>
      </c>
      <c r="I107" s="610"/>
      <c r="J107" s="599">
        <f t="shared" si="12"/>
        <v>0.1849479442822454</v>
      </c>
    </row>
    <row r="108" spans="1:10" x14ac:dyDescent="0.25">
      <c r="A108" s="600" t="s">
        <v>69</v>
      </c>
      <c r="B108" s="601">
        <v>0</v>
      </c>
      <c r="C108" s="55"/>
      <c r="D108" s="601">
        <v>118128.15</v>
      </c>
      <c r="E108" s="618"/>
      <c r="F108" s="624">
        <v>143694.59</v>
      </c>
      <c r="G108" s="625"/>
      <c r="H108" s="602">
        <f t="shared" si="11"/>
        <v>-261822.74</v>
      </c>
      <c r="I108" s="604" t="s">
        <v>3511</v>
      </c>
      <c r="J108" s="616" t="s">
        <v>3529</v>
      </c>
    </row>
    <row r="109" spans="1:10" x14ac:dyDescent="0.25">
      <c r="A109" s="600" t="s">
        <v>67</v>
      </c>
      <c r="B109" s="601">
        <v>11495749.32</v>
      </c>
      <c r="C109" s="55"/>
      <c r="D109" s="601">
        <v>673011.25</v>
      </c>
      <c r="E109" s="618"/>
      <c r="F109" s="624">
        <v>49077.4</v>
      </c>
      <c r="G109" s="625"/>
      <c r="H109" s="602">
        <f t="shared" si="11"/>
        <v>10773660.67</v>
      </c>
      <c r="I109" s="610"/>
      <c r="J109" s="599">
        <f t="shared" si="12"/>
        <v>6.2813534803140614E-2</v>
      </c>
    </row>
    <row r="110" spans="1:10" x14ac:dyDescent="0.25">
      <c r="A110" s="603" t="s">
        <v>70</v>
      </c>
      <c r="B110" s="601">
        <v>74135644.049999997</v>
      </c>
      <c r="C110" s="55"/>
      <c r="D110" s="601">
        <v>269700</v>
      </c>
      <c r="E110" s="618"/>
      <c r="F110" s="624">
        <v>2187652.9</v>
      </c>
      <c r="G110" s="625"/>
      <c r="H110" s="602">
        <f t="shared" si="11"/>
        <v>71678291.149999991</v>
      </c>
      <c r="I110" s="610"/>
      <c r="J110" s="599">
        <f t="shared" si="12"/>
        <v>3.314671277884447E-2</v>
      </c>
    </row>
    <row r="111" spans="1:10" x14ac:dyDescent="0.25">
      <c r="A111" s="603" t="s">
        <v>471</v>
      </c>
      <c r="B111" s="601">
        <v>63465417.100000001</v>
      </c>
      <c r="C111" s="55"/>
      <c r="D111" s="601">
        <v>57676202.649999999</v>
      </c>
      <c r="E111" s="618"/>
      <c r="F111" s="624">
        <v>35607233.32</v>
      </c>
      <c r="G111" s="625"/>
      <c r="H111" s="602">
        <f t="shared" si="11"/>
        <v>-29818018.869999997</v>
      </c>
      <c r="I111" s="604" t="s">
        <v>3511</v>
      </c>
      <c r="J111" s="599">
        <f t="shared" si="12"/>
        <v>1.4698309761837207</v>
      </c>
    </row>
    <row r="112" spans="1:10" x14ac:dyDescent="0.25">
      <c r="A112" s="600" t="s">
        <v>754</v>
      </c>
      <c r="B112" s="621">
        <v>0</v>
      </c>
      <c r="C112" s="55"/>
      <c r="D112" s="621">
        <v>0</v>
      </c>
      <c r="E112" s="618"/>
      <c r="F112" s="621">
        <v>100000</v>
      </c>
      <c r="G112" s="625"/>
      <c r="H112" s="621">
        <f t="shared" si="11"/>
        <v>-100000</v>
      </c>
      <c r="I112" s="604" t="s">
        <v>3511</v>
      </c>
      <c r="J112" s="626" t="s">
        <v>3529</v>
      </c>
    </row>
    <row r="113" spans="1:10" x14ac:dyDescent="0.25">
      <c r="A113" s="55" t="s">
        <v>4127</v>
      </c>
      <c r="B113" s="612">
        <f>SUM(B100:B112)</f>
        <v>580542501.14999998</v>
      </c>
      <c r="C113" s="612"/>
      <c r="D113" s="612">
        <f>SUM(D100:D112)</f>
        <v>294836507.54000002</v>
      </c>
      <c r="E113" s="612"/>
      <c r="F113" s="612">
        <f>SUM(F100:F112)</f>
        <v>163971778.40000001</v>
      </c>
      <c r="G113" s="612"/>
      <c r="H113" s="612">
        <f>SUM(H100:H112)</f>
        <v>121734215.20999998</v>
      </c>
      <c r="I113" s="612"/>
      <c r="J113" s="613">
        <f t="shared" si="12"/>
        <v>0.79030955534029657</v>
      </c>
    </row>
    <row r="114" spans="1:10" x14ac:dyDescent="0.25">
      <c r="A114" s="55"/>
      <c r="B114" s="612"/>
      <c r="C114" s="612"/>
      <c r="D114" s="612"/>
      <c r="E114" s="612"/>
      <c r="F114" s="612"/>
      <c r="G114" s="612"/>
      <c r="H114" s="612"/>
      <c r="I114" s="612"/>
      <c r="J114" s="613"/>
    </row>
    <row r="115" spans="1:10" x14ac:dyDescent="0.25">
      <c r="A115" s="55" t="s">
        <v>4128</v>
      </c>
      <c r="B115" s="596"/>
      <c r="C115" s="55"/>
      <c r="D115" s="596"/>
      <c r="E115" s="618"/>
      <c r="F115" s="624"/>
      <c r="G115" s="625"/>
      <c r="H115" s="598"/>
      <c r="I115" s="591"/>
      <c r="J115" s="599"/>
    </row>
    <row r="116" spans="1:10" x14ac:dyDescent="0.25">
      <c r="A116" s="55" t="s">
        <v>1095</v>
      </c>
      <c r="B116" s="596"/>
      <c r="C116" s="55"/>
      <c r="D116" s="596"/>
      <c r="E116" s="618"/>
      <c r="F116" s="624"/>
      <c r="G116" s="625"/>
      <c r="H116" s="598"/>
      <c r="I116" s="591"/>
      <c r="J116" s="599"/>
    </row>
    <row r="117" spans="1:10" x14ac:dyDescent="0.25">
      <c r="A117" s="600" t="s">
        <v>1045</v>
      </c>
      <c r="B117" s="596">
        <v>1639775</v>
      </c>
      <c r="C117" s="600"/>
      <c r="D117" s="596">
        <v>0</v>
      </c>
      <c r="E117" s="600"/>
      <c r="F117" s="595">
        <v>1318462.8</v>
      </c>
      <c r="G117" s="603"/>
      <c r="H117" s="602">
        <f t="shared" ref="H117:H131" si="13">B117-(D117+F117)</f>
        <v>321312.19999999995</v>
      </c>
      <c r="I117" s="627"/>
      <c r="J117" s="599">
        <f t="shared" ref="J117:J131" si="14">(F117+D117)/B117</f>
        <v>0.80405104358829715</v>
      </c>
    </row>
    <row r="118" spans="1:10" x14ac:dyDescent="0.25">
      <c r="A118" s="600" t="s">
        <v>123</v>
      </c>
      <c r="B118" s="596">
        <v>0</v>
      </c>
      <c r="C118" s="55"/>
      <c r="D118" s="596">
        <v>21560000</v>
      </c>
      <c r="E118" s="618"/>
      <c r="F118" s="595">
        <v>0</v>
      </c>
      <c r="G118" s="625"/>
      <c r="H118" s="602">
        <f t="shared" si="13"/>
        <v>-21560000</v>
      </c>
      <c r="I118" s="604" t="s">
        <v>3511</v>
      </c>
      <c r="J118" s="616" t="s">
        <v>3529</v>
      </c>
    </row>
    <row r="119" spans="1:10" x14ac:dyDescent="0.25">
      <c r="A119" s="600" t="s">
        <v>1047</v>
      </c>
      <c r="B119" s="596">
        <v>0</v>
      </c>
      <c r="C119" s="55"/>
      <c r="D119" s="596">
        <v>167730.1</v>
      </c>
      <c r="E119" s="618"/>
      <c r="F119" s="595">
        <v>4411078</v>
      </c>
      <c r="G119" s="625"/>
      <c r="H119" s="602">
        <f t="shared" si="13"/>
        <v>-4578808.0999999996</v>
      </c>
      <c r="I119" s="604" t="s">
        <v>3511</v>
      </c>
      <c r="J119" s="616" t="s">
        <v>3529</v>
      </c>
    </row>
    <row r="120" spans="1:10" x14ac:dyDescent="0.25">
      <c r="A120" s="600" t="s">
        <v>1048</v>
      </c>
      <c r="B120" s="596">
        <v>13784819.300000001</v>
      </c>
      <c r="C120" s="55"/>
      <c r="D120" s="596">
        <v>2789199</v>
      </c>
      <c r="E120" s="618"/>
      <c r="F120" s="595">
        <v>3973000</v>
      </c>
      <c r="G120" s="625"/>
      <c r="H120" s="602">
        <f t="shared" si="13"/>
        <v>7022620.3000000007</v>
      </c>
      <c r="I120" s="627"/>
      <c r="J120" s="599">
        <f t="shared" si="14"/>
        <v>0.49055405463312818</v>
      </c>
    </row>
    <row r="121" spans="1:10" x14ac:dyDescent="0.25">
      <c r="A121" s="600" t="s">
        <v>43</v>
      </c>
      <c r="B121" s="596">
        <v>10522705</v>
      </c>
      <c r="C121" s="55"/>
      <c r="D121" s="596">
        <v>3319396</v>
      </c>
      <c r="E121" s="618"/>
      <c r="F121" s="595">
        <v>15155391.1</v>
      </c>
      <c r="G121" s="625"/>
      <c r="H121" s="602">
        <f t="shared" si="13"/>
        <v>-7952082.1000000015</v>
      </c>
      <c r="I121" s="604" t="s">
        <v>3511</v>
      </c>
      <c r="J121" s="599">
        <f t="shared" si="14"/>
        <v>1.7557070259025604</v>
      </c>
    </row>
    <row r="122" spans="1:10" x14ac:dyDescent="0.25">
      <c r="A122" s="600" t="s">
        <v>1049</v>
      </c>
      <c r="B122" s="596">
        <v>1090000</v>
      </c>
      <c r="C122" s="55"/>
      <c r="D122" s="596">
        <v>3429289.3</v>
      </c>
      <c r="E122" s="618"/>
      <c r="F122" s="595">
        <v>527622.15</v>
      </c>
      <c r="G122" s="625"/>
      <c r="H122" s="602">
        <f t="shared" si="13"/>
        <v>-2866911.4499999997</v>
      </c>
      <c r="I122" s="604" t="s">
        <v>3511</v>
      </c>
      <c r="J122" s="599">
        <f t="shared" si="14"/>
        <v>3.6301939908256879</v>
      </c>
    </row>
    <row r="123" spans="1:10" x14ac:dyDescent="0.25">
      <c r="A123" s="600" t="s">
        <v>1050</v>
      </c>
      <c r="B123" s="596">
        <v>793075565</v>
      </c>
      <c r="C123" s="55"/>
      <c r="D123" s="596">
        <v>5537067.5300000003</v>
      </c>
      <c r="E123" s="618"/>
      <c r="F123" s="595">
        <v>76229032.349999994</v>
      </c>
      <c r="G123" s="625"/>
      <c r="H123" s="602">
        <f t="shared" si="13"/>
        <v>711309465.12</v>
      </c>
      <c r="I123" s="627"/>
      <c r="J123" s="599">
        <f t="shared" si="14"/>
        <v>0.10310001151025248</v>
      </c>
    </row>
    <row r="124" spans="1:10" x14ac:dyDescent="0.25">
      <c r="A124" s="600" t="s">
        <v>68</v>
      </c>
      <c r="B124" s="596">
        <v>14110250</v>
      </c>
      <c r="C124" s="55"/>
      <c r="D124" s="596">
        <v>19692609.699999999</v>
      </c>
      <c r="E124" s="618"/>
      <c r="F124" s="595">
        <v>17543441</v>
      </c>
      <c r="G124" s="625"/>
      <c r="H124" s="602">
        <f t="shared" si="13"/>
        <v>-23125800.700000003</v>
      </c>
      <c r="I124" s="604" t="s">
        <v>3511</v>
      </c>
      <c r="J124" s="599">
        <f t="shared" si="14"/>
        <v>2.6389362839070891</v>
      </c>
    </row>
    <row r="125" spans="1:10" x14ac:dyDescent="0.25">
      <c r="A125" s="600" t="s">
        <v>69</v>
      </c>
      <c r="B125" s="596">
        <v>0</v>
      </c>
      <c r="C125" s="55"/>
      <c r="D125" s="596">
        <v>259000</v>
      </c>
      <c r="E125" s="618"/>
      <c r="F125" s="595">
        <v>125420</v>
      </c>
      <c r="G125" s="625"/>
      <c r="H125" s="602">
        <f t="shared" si="13"/>
        <v>-384420</v>
      </c>
      <c r="I125" s="604" t="s">
        <v>3511</v>
      </c>
      <c r="J125" s="616" t="s">
        <v>3529</v>
      </c>
    </row>
    <row r="126" spans="1:10" x14ac:dyDescent="0.25">
      <c r="A126" s="600" t="s">
        <v>67</v>
      </c>
      <c r="B126" s="596">
        <v>530000</v>
      </c>
      <c r="C126" s="55"/>
      <c r="D126" s="596">
        <v>40080.65</v>
      </c>
      <c r="E126" s="618"/>
      <c r="F126" s="595">
        <v>0</v>
      </c>
      <c r="G126" s="625"/>
      <c r="H126" s="602">
        <f t="shared" si="13"/>
        <v>489919.35</v>
      </c>
      <c r="I126" s="627"/>
      <c r="J126" s="599">
        <f t="shared" si="14"/>
        <v>7.5623867924528299E-2</v>
      </c>
    </row>
    <row r="127" spans="1:10" x14ac:dyDescent="0.25">
      <c r="A127" s="603" t="s">
        <v>70</v>
      </c>
      <c r="B127" s="596">
        <v>839927470.5</v>
      </c>
      <c r="C127" s="55"/>
      <c r="D127" s="596">
        <v>9453856</v>
      </c>
      <c r="E127" s="618"/>
      <c r="F127" s="595">
        <v>10770840.5</v>
      </c>
      <c r="G127" s="625"/>
      <c r="H127" s="602">
        <f t="shared" si="13"/>
        <v>819702774</v>
      </c>
      <c r="I127" s="627"/>
      <c r="J127" s="599">
        <f t="shared" si="14"/>
        <v>2.4079098744038518E-2</v>
      </c>
    </row>
    <row r="128" spans="1:10" x14ac:dyDescent="0.25">
      <c r="A128" s="603" t="s">
        <v>471</v>
      </c>
      <c r="B128" s="596">
        <v>41381827</v>
      </c>
      <c r="C128" s="55"/>
      <c r="D128" s="596">
        <v>23823769.25</v>
      </c>
      <c r="E128" s="618"/>
      <c r="F128" s="595">
        <v>140437755.55000001</v>
      </c>
      <c r="G128" s="625"/>
      <c r="H128" s="602">
        <f t="shared" si="13"/>
        <v>-122879697.80000001</v>
      </c>
      <c r="I128" s="604" t="s">
        <v>3511</v>
      </c>
      <c r="J128" s="599">
        <f t="shared" si="14"/>
        <v>3.9694120996639422</v>
      </c>
    </row>
    <row r="129" spans="1:10" x14ac:dyDescent="0.25">
      <c r="A129" s="600" t="s">
        <v>470</v>
      </c>
      <c r="B129" s="596">
        <v>0</v>
      </c>
      <c r="C129" s="596"/>
      <c r="D129" s="596">
        <v>0</v>
      </c>
      <c r="E129" s="596"/>
      <c r="F129" s="596">
        <v>36420448</v>
      </c>
      <c r="G129" s="596"/>
      <c r="H129" s="596">
        <f t="shared" si="13"/>
        <v>-36420448</v>
      </c>
      <c r="I129" s="604" t="s">
        <v>3511</v>
      </c>
      <c r="J129" s="616" t="s">
        <v>3529</v>
      </c>
    </row>
    <row r="130" spans="1:10" x14ac:dyDescent="0.25">
      <c r="A130" s="600" t="s">
        <v>754</v>
      </c>
      <c r="B130" s="596">
        <v>200957694.47</v>
      </c>
      <c r="C130" s="596"/>
      <c r="D130" s="596">
        <v>12000000</v>
      </c>
      <c r="E130" s="596"/>
      <c r="F130" s="596">
        <v>0</v>
      </c>
      <c r="G130" s="596"/>
      <c r="H130" s="596">
        <f t="shared" si="13"/>
        <v>188957694.47</v>
      </c>
      <c r="I130" s="624"/>
      <c r="J130" s="599">
        <f t="shared" si="14"/>
        <v>5.9714060870614843E-2</v>
      </c>
    </row>
    <row r="131" spans="1:10" x14ac:dyDescent="0.25">
      <c r="A131" s="600" t="s">
        <v>3531</v>
      </c>
      <c r="B131" s="628">
        <v>125000000</v>
      </c>
      <c r="C131" s="592"/>
      <c r="D131" s="628">
        <v>0</v>
      </c>
      <c r="E131" s="628"/>
      <c r="F131" s="628">
        <v>0</v>
      </c>
      <c r="G131" s="624"/>
      <c r="H131" s="628">
        <f t="shared" si="13"/>
        <v>125000000</v>
      </c>
      <c r="I131" s="624"/>
      <c r="J131" s="611">
        <f t="shared" si="14"/>
        <v>0</v>
      </c>
    </row>
    <row r="132" spans="1:10" x14ac:dyDescent="0.25">
      <c r="A132" s="55" t="s">
        <v>4129</v>
      </c>
      <c r="B132" s="612">
        <f>SUM(B117:B131)</f>
        <v>2042020106.27</v>
      </c>
      <c r="C132" s="612"/>
      <c r="D132" s="612">
        <f>SUM(D117:D131)</f>
        <v>102071997.53</v>
      </c>
      <c r="E132" s="612"/>
      <c r="F132" s="612">
        <f>SUM(F117:F131)</f>
        <v>306912491.44999999</v>
      </c>
      <c r="G132" s="612"/>
      <c r="H132" s="612">
        <f>SUM(H117:H131)</f>
        <v>1633035617.29</v>
      </c>
      <c r="I132" s="612"/>
      <c r="J132" s="613">
        <f>(F132+D132)/B132</f>
        <v>0.20028426151349721</v>
      </c>
    </row>
    <row r="133" spans="1:10" x14ac:dyDescent="0.25">
      <c r="A133" s="55"/>
      <c r="B133" s="612"/>
      <c r="C133" s="612"/>
      <c r="D133" s="612"/>
      <c r="E133" s="612"/>
      <c r="F133" s="612"/>
      <c r="G133" s="612"/>
      <c r="H133" s="612"/>
      <c r="I133" s="612"/>
      <c r="J133" s="613"/>
    </row>
    <row r="134" spans="1:10" x14ac:dyDescent="0.25">
      <c r="A134" s="55" t="s">
        <v>2309</v>
      </c>
      <c r="B134" s="612"/>
      <c r="C134" s="629"/>
      <c r="D134" s="612"/>
      <c r="E134" s="55"/>
      <c r="F134" s="612"/>
      <c r="G134" s="630"/>
      <c r="H134" s="612"/>
      <c r="I134" s="612"/>
      <c r="J134" s="613"/>
    </row>
    <row r="135" spans="1:10" x14ac:dyDescent="0.25">
      <c r="A135" s="55" t="s">
        <v>1774</v>
      </c>
      <c r="B135" s="53"/>
      <c r="C135" s="592"/>
      <c r="D135" s="53"/>
      <c r="E135" s="593"/>
      <c r="F135" s="54"/>
      <c r="G135" s="594"/>
      <c r="H135" s="125"/>
      <c r="I135" s="125"/>
      <c r="J135" s="53"/>
    </row>
    <row r="136" spans="1:10" x14ac:dyDescent="0.25">
      <c r="A136" s="600" t="s">
        <v>43</v>
      </c>
      <c r="B136" s="596">
        <v>105560000</v>
      </c>
      <c r="C136" s="55"/>
      <c r="D136" s="596">
        <v>16314291</v>
      </c>
      <c r="E136" s="618"/>
      <c r="F136" s="595">
        <v>0</v>
      </c>
      <c r="G136" s="625"/>
      <c r="H136" s="602">
        <f>B136-(D136+F136)</f>
        <v>89245709</v>
      </c>
      <c r="I136" s="627"/>
      <c r="J136" s="599">
        <f t="shared" ref="J136:J141" si="15">(F136+D136)/B136</f>
        <v>0.15454993368700265</v>
      </c>
    </row>
    <row r="137" spans="1:10" x14ac:dyDescent="0.25">
      <c r="A137" s="600" t="s">
        <v>1049</v>
      </c>
      <c r="B137" s="596">
        <v>29000000</v>
      </c>
      <c r="C137" s="55"/>
      <c r="D137" s="596">
        <v>0</v>
      </c>
      <c r="E137" s="618"/>
      <c r="F137" s="595">
        <v>0</v>
      </c>
      <c r="G137" s="625"/>
      <c r="H137" s="602">
        <f>B137-(D137+F137)</f>
        <v>29000000</v>
      </c>
      <c r="I137" s="627"/>
      <c r="J137" s="599">
        <f t="shared" si="15"/>
        <v>0</v>
      </c>
    </row>
    <row r="138" spans="1:10" x14ac:dyDescent="0.25">
      <c r="A138" s="600" t="s">
        <v>1050</v>
      </c>
      <c r="B138" s="596">
        <v>2379248744.4899998</v>
      </c>
      <c r="C138" s="600"/>
      <c r="D138" s="596">
        <v>467314641.10000002</v>
      </c>
      <c r="E138" s="600"/>
      <c r="F138" s="595">
        <v>130593474.44</v>
      </c>
      <c r="G138" s="625"/>
      <c r="H138" s="602">
        <f>B138-(D138+F138)</f>
        <v>1781340628.9499998</v>
      </c>
      <c r="I138" s="627"/>
      <c r="J138" s="599">
        <f t="shared" si="15"/>
        <v>0.25130122141481415</v>
      </c>
    </row>
    <row r="139" spans="1:10" x14ac:dyDescent="0.25">
      <c r="A139" s="600" t="s">
        <v>68</v>
      </c>
      <c r="B139" s="596">
        <v>101500000</v>
      </c>
      <c r="C139" s="55"/>
      <c r="D139" s="596">
        <v>0</v>
      </c>
      <c r="E139" s="618"/>
      <c r="F139" s="595">
        <v>0</v>
      </c>
      <c r="G139" s="625"/>
      <c r="H139" s="602">
        <f>B139-(D139+F139)</f>
        <v>101500000</v>
      </c>
      <c r="I139" s="627"/>
      <c r="J139" s="599">
        <f t="shared" si="15"/>
        <v>0</v>
      </c>
    </row>
    <row r="140" spans="1:10" x14ac:dyDescent="0.25">
      <c r="A140" s="603" t="s">
        <v>471</v>
      </c>
      <c r="B140" s="623">
        <v>9304934457</v>
      </c>
      <c r="C140" s="55"/>
      <c r="D140" s="623">
        <v>1786479599.8499999</v>
      </c>
      <c r="E140" s="618"/>
      <c r="F140" s="623">
        <v>6487745385.4200001</v>
      </c>
      <c r="G140" s="625"/>
      <c r="H140" s="623">
        <f>B140-(D140+F140)</f>
        <v>1030709471.7299995</v>
      </c>
      <c r="I140" s="627"/>
      <c r="J140" s="611">
        <f t="shared" si="15"/>
        <v>0.88922979774945021</v>
      </c>
    </row>
    <row r="141" spans="1:10" x14ac:dyDescent="0.25">
      <c r="A141" s="55" t="s">
        <v>4130</v>
      </c>
      <c r="B141" s="612">
        <f>SUM(B136:B140)</f>
        <v>11920243201.49</v>
      </c>
      <c r="C141" s="612"/>
      <c r="D141" s="612">
        <f>SUM(D136:D140)</f>
        <v>2270108531.9499998</v>
      </c>
      <c r="E141" s="612"/>
      <c r="F141" s="612">
        <f>SUM(F136:F140)</f>
        <v>6618338859.8599997</v>
      </c>
      <c r="G141" s="612"/>
      <c r="H141" s="612">
        <f>SUM(H136:H140)</f>
        <v>3031795809.6799994</v>
      </c>
      <c r="I141" s="612"/>
      <c r="J141" s="613">
        <f t="shared" si="15"/>
        <v>0.7456599032055794</v>
      </c>
    </row>
    <row r="142" spans="1:10" x14ac:dyDescent="0.25">
      <c r="A142" s="600"/>
      <c r="B142" s="614"/>
      <c r="C142" s="631"/>
      <c r="D142" s="614"/>
      <c r="E142" s="591"/>
      <c r="F142" s="591"/>
      <c r="G142" s="591"/>
      <c r="H142" s="598"/>
      <c r="I142" s="591"/>
      <c r="J142" s="599"/>
    </row>
    <row r="143" spans="1:10" ht="15.75" thickBot="1" x14ac:dyDescent="0.3">
      <c r="A143" s="55" t="s">
        <v>388</v>
      </c>
      <c r="B143" s="127">
        <f>B21+B41+B50+B69+B82+B96+B113+B132+B141</f>
        <v>53915824911.149994</v>
      </c>
      <c r="C143" s="127"/>
      <c r="D143" s="127">
        <f>D21+D41+D50+D69+D82+D96+D113+D132+D141</f>
        <v>10847673463.029999</v>
      </c>
      <c r="E143" s="127"/>
      <c r="F143" s="127">
        <f>F21+F41+F50+F69+F82+F96+F113+F132+F141</f>
        <v>15459088727.57</v>
      </c>
      <c r="G143" s="127"/>
      <c r="H143" s="127">
        <f>H21+H41+H50+H69+H82+H96+H113+H132+H141</f>
        <v>27609062720.549999</v>
      </c>
      <c r="I143" s="55"/>
      <c r="J143" s="632">
        <f>(F143+D143)/B143</f>
        <v>0.48792283590118385</v>
      </c>
    </row>
    <row r="144" spans="1:10" ht="15.75" thickTop="1" x14ac:dyDescent="0.25">
      <c r="A144" s="178"/>
      <c r="B144" s="178"/>
      <c r="C144" s="178"/>
      <c r="D144" s="178"/>
      <c r="E144" s="178"/>
      <c r="F144" s="178"/>
      <c r="G144" s="178"/>
      <c r="H144" s="178"/>
      <c r="I144" s="17"/>
      <c r="J144" s="178"/>
    </row>
    <row r="145" spans="1:10" x14ac:dyDescent="0.25">
      <c r="A145" s="633" t="s">
        <v>3436</v>
      </c>
      <c r="B145" s="178"/>
      <c r="C145" s="178"/>
      <c r="D145" s="178"/>
      <c r="E145" s="178"/>
      <c r="F145" s="178"/>
      <c r="G145" s="178"/>
      <c r="H145" s="178"/>
      <c r="I145" s="17"/>
      <c r="J145" s="178"/>
    </row>
    <row r="146" spans="1:10" x14ac:dyDescent="0.25">
      <c r="A146" s="178"/>
      <c r="B146" s="178"/>
      <c r="C146" s="178"/>
      <c r="D146" s="178"/>
      <c r="E146" s="178"/>
      <c r="F146" s="178"/>
      <c r="G146" s="178"/>
      <c r="H146" s="178"/>
      <c r="I146" s="17"/>
      <c r="J146" s="178"/>
    </row>
    <row r="147" spans="1:10" ht="30" customHeight="1" x14ac:dyDescent="0.25">
      <c r="A147" s="1085" t="s">
        <v>3532</v>
      </c>
      <c r="B147" s="1085"/>
      <c r="C147" s="1085"/>
      <c r="D147" s="1085"/>
      <c r="E147" s="1085"/>
      <c r="F147" s="1085"/>
      <c r="G147" s="1085"/>
      <c r="H147" s="1085"/>
      <c r="I147" s="1085"/>
      <c r="J147" s="1085"/>
    </row>
    <row r="148" spans="1:10" ht="30.75" customHeight="1" x14ac:dyDescent="0.25">
      <c r="A148" s="1085" t="s">
        <v>3533</v>
      </c>
      <c r="B148" s="1085"/>
      <c r="C148" s="1085"/>
      <c r="D148" s="1085"/>
      <c r="E148" s="1085"/>
      <c r="F148" s="1085"/>
      <c r="G148" s="1085"/>
      <c r="H148" s="1085"/>
      <c r="I148" s="1085"/>
      <c r="J148" s="1085"/>
    </row>
    <row r="149" spans="1:10" x14ac:dyDescent="0.25">
      <c r="A149" s="178"/>
      <c r="B149" s="178"/>
      <c r="C149" s="178"/>
      <c r="D149" s="178"/>
      <c r="E149" s="178"/>
      <c r="F149" s="178"/>
      <c r="G149" s="178"/>
      <c r="H149" s="178"/>
      <c r="I149" s="17"/>
      <c r="J149" s="178"/>
    </row>
  </sheetData>
  <mergeCells count="2">
    <mergeCell ref="A147:J147"/>
    <mergeCell ref="A148:J148"/>
  </mergeCells>
  <phoneticPr fontId="0" type="noConversion"/>
  <pageMargins left="1.1811023622047245" right="0.35433070866141736" top="1.6535433070866143" bottom="0.59055118110236227" header="0.6692913385826772" footer="0.51181102362204722"/>
  <pageSetup paperSize="9" scale="60" firstPageNumber="36" orientation="portrait" r:id="rId1"/>
  <headerFooter alignWithMargins="0">
    <oddHeader xml:space="preserve">&amp;C&amp;"Arial Negrita,Negrita"&amp;K000000UNIVERSIDAD DE COSTA RICA
VICERRECTORÍA DE ADMINISTRACIÓN
OFICINA DE ADMINISTRACIÓN FINANCIERA
EGRESOS PARA COMPRA DE ACTIVOS POR SECCIÓN
Al 30 de junio de 2017
Expresado en colones&amp;R&amp;"Arial Negrita,Negrita"&amp;K000000
</oddHead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9"/>
  <sheetViews>
    <sheetView workbookViewId="0">
      <selection activeCell="I35" sqref="I35"/>
    </sheetView>
  </sheetViews>
  <sheetFormatPr baseColWidth="10" defaultRowHeight="12.75" x14ac:dyDescent="0.2"/>
  <sheetData>
    <row r="19" spans="1:1" x14ac:dyDescent="0.2">
      <c r="A19" s="2"/>
    </row>
  </sheetData>
  <phoneticPr fontId="0" type="noConversion"/>
  <printOptions horizontalCentered="1" verticalCentered="1"/>
  <pageMargins left="0.98425196850393704" right="0.75" top="1.55" bottom="1" header="0" footer="0"/>
  <pageSetup paperSize="9" scale="95" firstPageNumber="3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82"/>
  <sheetViews>
    <sheetView workbookViewId="0">
      <selection activeCell="A83" sqref="A83"/>
    </sheetView>
  </sheetViews>
  <sheetFormatPr baseColWidth="10" defaultColWidth="10.85546875" defaultRowHeight="15" x14ac:dyDescent="0.25"/>
  <cols>
    <col min="1" max="1" width="45.7109375" style="124" bestFit="1" customWidth="1"/>
    <col min="2" max="2" width="15.7109375" style="124" bestFit="1" customWidth="1"/>
    <col min="3" max="3" width="2" style="124" customWidth="1"/>
    <col min="4" max="4" width="15.7109375" style="124" bestFit="1" customWidth="1"/>
    <col min="5" max="5" width="1.85546875" style="124" customWidth="1"/>
    <col min="6" max="6" width="15.7109375" style="124" bestFit="1" customWidth="1"/>
    <col min="7" max="7" width="2.28515625" style="124" customWidth="1"/>
    <col min="8" max="8" width="15.7109375" style="124" bestFit="1" customWidth="1"/>
    <col min="9" max="9" width="2.85546875" style="124" bestFit="1" customWidth="1"/>
    <col min="10" max="10" width="14.140625" style="124" bestFit="1" customWidth="1"/>
    <col min="11" max="16384" width="10.85546875" style="124"/>
  </cols>
  <sheetData>
    <row r="1" spans="1:10" x14ac:dyDescent="0.25">
      <c r="A1" s="634" t="s">
        <v>4122</v>
      </c>
      <c r="B1" s="634"/>
      <c r="C1" s="634"/>
      <c r="D1" s="635"/>
      <c r="E1" s="635"/>
      <c r="F1" s="636" t="s">
        <v>468</v>
      </c>
      <c r="G1" s="636"/>
      <c r="H1" s="636"/>
      <c r="I1" s="636"/>
      <c r="J1" s="637" t="s">
        <v>1499</v>
      </c>
    </row>
    <row r="2" spans="1:10" x14ac:dyDescent="0.25">
      <c r="A2" s="634" t="s">
        <v>86</v>
      </c>
      <c r="B2" s="638" t="s">
        <v>90</v>
      </c>
      <c r="C2" s="634"/>
      <c r="D2" s="637" t="s">
        <v>91</v>
      </c>
      <c r="E2" s="635"/>
      <c r="F2" s="637" t="s">
        <v>694</v>
      </c>
      <c r="G2" s="637"/>
      <c r="H2" s="637" t="s">
        <v>1500</v>
      </c>
      <c r="I2" s="637"/>
      <c r="J2" s="637" t="s">
        <v>1501</v>
      </c>
    </row>
    <row r="3" spans="1:10" x14ac:dyDescent="0.25">
      <c r="A3" s="639" t="s">
        <v>515</v>
      </c>
      <c r="B3" s="640">
        <v>2027462547.02</v>
      </c>
      <c r="C3" s="640"/>
      <c r="D3" s="641">
        <v>1072227533.79</v>
      </c>
      <c r="E3" s="640"/>
      <c r="F3" s="641">
        <v>849786530.22000003</v>
      </c>
      <c r="G3" s="640"/>
      <c r="H3" s="641">
        <f t="shared" ref="H3:H9" si="0">B3-(D3+F3)</f>
        <v>105448483.00999999</v>
      </c>
      <c r="I3" s="641"/>
      <c r="J3" s="642">
        <f t="shared" ref="J3:J10" si="1">(F3+D3)/B3</f>
        <v>0.94798992308637708</v>
      </c>
    </row>
    <row r="4" spans="1:10" x14ac:dyDescent="0.25">
      <c r="A4" s="639" t="s">
        <v>516</v>
      </c>
      <c r="B4" s="643">
        <v>4819714975.9899998</v>
      </c>
      <c r="C4" s="639"/>
      <c r="D4" s="640">
        <v>1845935798.3399999</v>
      </c>
      <c r="E4" s="640"/>
      <c r="F4" s="641">
        <v>792556350.84000003</v>
      </c>
      <c r="G4" s="640"/>
      <c r="H4" s="641">
        <f t="shared" si="0"/>
        <v>2181222826.8099999</v>
      </c>
      <c r="I4" s="641"/>
      <c r="J4" s="642">
        <f t="shared" si="1"/>
        <v>0.54743738215308824</v>
      </c>
    </row>
    <row r="5" spans="1:10" x14ac:dyDescent="0.25">
      <c r="A5" s="639" t="s">
        <v>517</v>
      </c>
      <c r="B5" s="643">
        <v>612487898.19000006</v>
      </c>
      <c r="C5" s="639"/>
      <c r="D5" s="640">
        <v>86007104.849999994</v>
      </c>
      <c r="E5" s="640"/>
      <c r="F5" s="641">
        <v>250920213.02000001</v>
      </c>
      <c r="G5" s="640"/>
      <c r="H5" s="641">
        <f t="shared" si="0"/>
        <v>275560580.32000005</v>
      </c>
      <c r="I5" s="641"/>
      <c r="J5" s="642">
        <f t="shared" si="1"/>
        <v>0.55009628576446046</v>
      </c>
    </row>
    <row r="6" spans="1:10" x14ac:dyDescent="0.25">
      <c r="A6" s="639" t="s">
        <v>518</v>
      </c>
      <c r="B6" s="643">
        <v>191898384.52000001</v>
      </c>
      <c r="C6" s="639"/>
      <c r="D6" s="640">
        <v>47093165.799999997</v>
      </c>
      <c r="E6" s="640"/>
      <c r="F6" s="641">
        <v>29798624.620000001</v>
      </c>
      <c r="G6" s="644"/>
      <c r="H6" s="641">
        <f t="shared" si="0"/>
        <v>115006594.10000001</v>
      </c>
      <c r="I6" s="641"/>
      <c r="J6" s="642">
        <f t="shared" si="1"/>
        <v>0.40069013927517561</v>
      </c>
    </row>
    <row r="7" spans="1:10" x14ac:dyDescent="0.25">
      <c r="A7" s="639" t="s">
        <v>519</v>
      </c>
      <c r="B7" s="643">
        <v>1627843684.0699999</v>
      </c>
      <c r="C7" s="639"/>
      <c r="D7" s="640">
        <v>1078282403.0799999</v>
      </c>
      <c r="E7" s="640"/>
      <c r="F7" s="641">
        <v>1046001906.71</v>
      </c>
      <c r="G7" s="644"/>
      <c r="H7" s="641">
        <f t="shared" si="0"/>
        <v>-496440625.72000003</v>
      </c>
      <c r="I7" s="645" t="s">
        <v>3387</v>
      </c>
      <c r="J7" s="642">
        <f t="shared" si="1"/>
        <v>1.3049682414706916</v>
      </c>
    </row>
    <row r="8" spans="1:10" x14ac:dyDescent="0.25">
      <c r="A8" s="639" t="s">
        <v>520</v>
      </c>
      <c r="B8" s="643">
        <v>5950343015.5699997</v>
      </c>
      <c r="C8" s="639"/>
      <c r="D8" s="640">
        <v>1044003198.45</v>
      </c>
      <c r="E8" s="640"/>
      <c r="F8" s="641">
        <v>1034139367.64</v>
      </c>
      <c r="G8" s="644"/>
      <c r="H8" s="641">
        <f t="shared" si="0"/>
        <v>3872200449.4799995</v>
      </c>
      <c r="I8" s="641"/>
      <c r="J8" s="642">
        <f t="shared" si="1"/>
        <v>0.34924752415990412</v>
      </c>
    </row>
    <row r="9" spans="1:10" x14ac:dyDescent="0.25">
      <c r="A9" s="639" t="s">
        <v>50</v>
      </c>
      <c r="B9" s="646">
        <v>1938574045.79</v>
      </c>
      <c r="C9" s="647"/>
      <c r="D9" s="646">
        <v>422245173.73000002</v>
      </c>
      <c r="E9" s="640"/>
      <c r="F9" s="646">
        <v>341328525.13999999</v>
      </c>
      <c r="G9" s="644"/>
      <c r="H9" s="648">
        <f t="shared" si="0"/>
        <v>1175000346.9200001</v>
      </c>
      <c r="I9" s="641"/>
      <c r="J9" s="649">
        <f t="shared" si="1"/>
        <v>0.39388420603703661</v>
      </c>
    </row>
    <row r="10" spans="1:10" x14ac:dyDescent="0.25">
      <c r="A10" s="634" t="s">
        <v>755</v>
      </c>
      <c r="B10" s="650">
        <f>SUM(B3:B9)</f>
        <v>17168324551.150002</v>
      </c>
      <c r="C10" s="650"/>
      <c r="D10" s="650">
        <f>SUM(D3:D9)</f>
        <v>5595794378.0400009</v>
      </c>
      <c r="E10" s="650"/>
      <c r="F10" s="650">
        <f>SUM(F3:F9)</f>
        <v>4344531518.1899996</v>
      </c>
      <c r="G10" s="650"/>
      <c r="H10" s="650">
        <f>SUM(H3:H9)</f>
        <v>7227998654.9199991</v>
      </c>
      <c r="I10" s="651"/>
      <c r="J10" s="652">
        <f t="shared" si="1"/>
        <v>0.57899219382849787</v>
      </c>
    </row>
    <row r="11" spans="1:10" x14ac:dyDescent="0.25">
      <c r="A11" s="634"/>
      <c r="B11" s="634"/>
      <c r="C11" s="634"/>
      <c r="D11" s="653"/>
      <c r="E11" s="640"/>
      <c r="F11" s="654"/>
      <c r="G11" s="654"/>
      <c r="H11" s="641"/>
      <c r="I11" s="654"/>
      <c r="J11" s="642"/>
    </row>
    <row r="12" spans="1:10" x14ac:dyDescent="0.25">
      <c r="A12" s="634" t="s">
        <v>72</v>
      </c>
      <c r="B12" s="634"/>
      <c r="C12" s="634"/>
      <c r="D12" s="653"/>
      <c r="E12" s="653"/>
      <c r="F12" s="644"/>
      <c r="G12" s="644"/>
      <c r="H12" s="641"/>
      <c r="I12" s="644"/>
      <c r="J12" s="642"/>
    </row>
    <row r="13" spans="1:10" x14ac:dyDescent="0.25">
      <c r="A13" s="634" t="s">
        <v>3421</v>
      </c>
      <c r="B13" s="634"/>
      <c r="C13" s="634"/>
      <c r="D13" s="653"/>
      <c r="E13" s="653"/>
      <c r="F13" s="644"/>
      <c r="G13" s="644"/>
      <c r="H13" s="641"/>
      <c r="I13" s="644"/>
      <c r="J13" s="642"/>
    </row>
    <row r="14" spans="1:10" x14ac:dyDescent="0.25">
      <c r="A14" s="639" t="s">
        <v>515</v>
      </c>
      <c r="B14" s="640">
        <v>36298128.149999999</v>
      </c>
      <c r="C14" s="640"/>
      <c r="D14" s="640">
        <v>4849812.8</v>
      </c>
      <c r="E14" s="640"/>
      <c r="F14" s="644">
        <v>4027065</v>
      </c>
      <c r="G14" s="640"/>
      <c r="H14" s="641">
        <f>B14-(D14+F14)</f>
        <v>27421250.349999998</v>
      </c>
      <c r="I14" s="644"/>
      <c r="J14" s="642">
        <f t="shared" ref="J14:J19" si="2">(F14+D14)/B14</f>
        <v>0.24455469889016856</v>
      </c>
    </row>
    <row r="15" spans="1:10" x14ac:dyDescent="0.25">
      <c r="A15" s="639" t="s">
        <v>516</v>
      </c>
      <c r="B15" s="640">
        <v>279420803.80000001</v>
      </c>
      <c r="C15" s="639"/>
      <c r="D15" s="640">
        <v>193512485.5</v>
      </c>
      <c r="E15" s="640"/>
      <c r="F15" s="644">
        <v>20048682.850000001</v>
      </c>
      <c r="G15" s="644"/>
      <c r="H15" s="641">
        <f>B15-(D15+F15)</f>
        <v>65859635.450000018</v>
      </c>
      <c r="I15" s="644"/>
      <c r="J15" s="642">
        <f t="shared" si="2"/>
        <v>0.76429945603785421</v>
      </c>
    </row>
    <row r="16" spans="1:10" x14ac:dyDescent="0.25">
      <c r="A16" s="639" t="s">
        <v>517</v>
      </c>
      <c r="B16" s="640">
        <v>4639108.4000000004</v>
      </c>
      <c r="C16" s="639"/>
      <c r="D16" s="640">
        <v>3650326.9</v>
      </c>
      <c r="E16" s="640"/>
      <c r="F16" s="644">
        <v>4200795</v>
      </c>
      <c r="G16" s="644"/>
      <c r="H16" s="641">
        <f>B16-(D16+F16)</f>
        <v>-3212013.5</v>
      </c>
      <c r="I16" s="645" t="s">
        <v>3511</v>
      </c>
      <c r="J16" s="642">
        <f t="shared" si="2"/>
        <v>1.6923773326788396</v>
      </c>
    </row>
    <row r="17" spans="1:10" x14ac:dyDescent="0.25">
      <c r="A17" s="639" t="s">
        <v>518</v>
      </c>
      <c r="B17" s="640">
        <v>1950000</v>
      </c>
      <c r="C17" s="639"/>
      <c r="D17" s="640">
        <v>0</v>
      </c>
      <c r="E17" s="640"/>
      <c r="F17" s="644">
        <v>0</v>
      </c>
      <c r="G17" s="644"/>
      <c r="H17" s="641">
        <f>B17-(D17+F17)</f>
        <v>1950000</v>
      </c>
      <c r="I17" s="644"/>
      <c r="J17" s="642">
        <f t="shared" si="2"/>
        <v>0</v>
      </c>
    </row>
    <row r="18" spans="1:10" x14ac:dyDescent="0.25">
      <c r="A18" s="639" t="s">
        <v>50</v>
      </c>
      <c r="B18" s="648">
        <v>51603537.640000001</v>
      </c>
      <c r="C18" s="647"/>
      <c r="D18" s="648">
        <v>16455480.050000001</v>
      </c>
      <c r="E18" s="655"/>
      <c r="F18" s="648">
        <v>4407095.9000000004</v>
      </c>
      <c r="G18" s="644"/>
      <c r="H18" s="648">
        <f>B18-(D18+F18)</f>
        <v>30740961.689999998</v>
      </c>
      <c r="I18" s="644"/>
      <c r="J18" s="649">
        <f t="shared" si="2"/>
        <v>0.40428577000946875</v>
      </c>
    </row>
    <row r="19" spans="1:10" x14ac:dyDescent="0.25">
      <c r="A19" s="634" t="s">
        <v>51</v>
      </c>
      <c r="B19" s="650">
        <f>SUM(B14:B18)</f>
        <v>373911577.98999995</v>
      </c>
      <c r="C19" s="650"/>
      <c r="D19" s="650">
        <f>SUM(D14:D18)</f>
        <v>218468105.25000003</v>
      </c>
      <c r="E19" s="650"/>
      <c r="F19" s="650">
        <f>SUM(F14:F18)</f>
        <v>32683638.75</v>
      </c>
      <c r="G19" s="650"/>
      <c r="H19" s="650">
        <f>SUM(H14:H18)</f>
        <v>122759833.99000001</v>
      </c>
      <c r="I19" s="650"/>
      <c r="J19" s="652">
        <f t="shared" si="2"/>
        <v>0.67168752930864561</v>
      </c>
    </row>
    <row r="20" spans="1:10" x14ac:dyDescent="0.25">
      <c r="A20" s="634"/>
      <c r="B20" s="656"/>
      <c r="C20" s="656"/>
      <c r="D20" s="653"/>
      <c r="E20" s="640"/>
      <c r="F20" s="644"/>
      <c r="G20" s="644"/>
      <c r="H20" s="641"/>
      <c r="I20" s="644"/>
      <c r="J20" s="642"/>
    </row>
    <row r="21" spans="1:10" x14ac:dyDescent="0.25">
      <c r="A21" s="634" t="s">
        <v>4123</v>
      </c>
      <c r="B21" s="656"/>
      <c r="C21" s="656"/>
      <c r="D21" s="653"/>
      <c r="E21" s="653"/>
      <c r="F21" s="644"/>
      <c r="G21" s="644"/>
      <c r="H21" s="641"/>
      <c r="I21" s="644"/>
      <c r="J21" s="642"/>
    </row>
    <row r="22" spans="1:10" x14ac:dyDescent="0.25">
      <c r="A22" s="634" t="s">
        <v>389</v>
      </c>
      <c r="B22" s="656"/>
      <c r="C22" s="656"/>
      <c r="D22" s="653"/>
      <c r="E22" s="653"/>
      <c r="F22" s="644"/>
      <c r="G22" s="644"/>
      <c r="H22" s="641"/>
      <c r="I22" s="644"/>
      <c r="J22" s="642"/>
    </row>
    <row r="23" spans="1:10" x14ac:dyDescent="0.25">
      <c r="A23" s="639" t="s">
        <v>756</v>
      </c>
      <c r="B23" s="648">
        <v>17314222459.169998</v>
      </c>
      <c r="C23" s="640"/>
      <c r="D23" s="648">
        <v>1589189362.7</v>
      </c>
      <c r="E23" s="640"/>
      <c r="F23" s="648">
        <v>2477098125.8000002</v>
      </c>
      <c r="G23" s="640"/>
      <c r="H23" s="648">
        <f>B23-(D23+F23)</f>
        <v>13247934970.669998</v>
      </c>
      <c r="I23" s="644"/>
      <c r="J23" s="649">
        <f>(F23+D23)/B23</f>
        <v>0.23485244561741225</v>
      </c>
    </row>
    <row r="24" spans="1:10" x14ac:dyDescent="0.25">
      <c r="A24" s="634" t="s">
        <v>390</v>
      </c>
      <c r="B24" s="650">
        <f>SUM(B23)</f>
        <v>17314222459.169998</v>
      </c>
      <c r="C24" s="650"/>
      <c r="D24" s="650">
        <f>SUM(D23)</f>
        <v>1589189362.7</v>
      </c>
      <c r="E24" s="650"/>
      <c r="F24" s="650">
        <f>SUM(F23)</f>
        <v>2477098125.8000002</v>
      </c>
      <c r="G24" s="650"/>
      <c r="H24" s="650">
        <f>SUM(H23)</f>
        <v>13247934970.669998</v>
      </c>
      <c r="I24" s="651"/>
      <c r="J24" s="652">
        <f>(F24+D24)/B24</f>
        <v>0.23485244561741225</v>
      </c>
    </row>
    <row r="25" spans="1:10" x14ac:dyDescent="0.25">
      <c r="A25" s="634"/>
      <c r="B25" s="650"/>
      <c r="C25" s="650"/>
      <c r="D25" s="650"/>
      <c r="E25" s="650"/>
      <c r="F25" s="650"/>
      <c r="G25" s="650"/>
      <c r="H25" s="650"/>
      <c r="I25" s="651"/>
      <c r="J25" s="652"/>
    </row>
    <row r="26" spans="1:10" x14ac:dyDescent="0.25">
      <c r="A26" s="634" t="s">
        <v>77</v>
      </c>
      <c r="B26" s="639"/>
      <c r="C26" s="639"/>
      <c r="D26" s="640"/>
      <c r="E26" s="640"/>
      <c r="F26" s="644"/>
      <c r="G26" s="644"/>
      <c r="H26" s="641"/>
      <c r="I26" s="644"/>
      <c r="J26" s="642"/>
    </row>
    <row r="27" spans="1:10" x14ac:dyDescent="0.25">
      <c r="A27" s="634" t="s">
        <v>1392</v>
      </c>
      <c r="B27" s="634"/>
      <c r="C27" s="634"/>
      <c r="D27" s="653"/>
      <c r="E27" s="653"/>
      <c r="F27" s="644"/>
      <c r="G27" s="644"/>
      <c r="H27" s="641"/>
      <c r="I27" s="644"/>
      <c r="J27" s="642"/>
    </row>
    <row r="28" spans="1:10" x14ac:dyDescent="0.25">
      <c r="A28" s="639" t="s">
        <v>94</v>
      </c>
      <c r="B28" s="640">
        <v>75875000</v>
      </c>
      <c r="C28" s="640"/>
      <c r="D28" s="657">
        <v>13266753.75</v>
      </c>
      <c r="E28" s="640"/>
      <c r="F28" s="644">
        <v>15588246.23</v>
      </c>
      <c r="G28" s="640"/>
      <c r="H28" s="641">
        <f>B28-(D28+F28)</f>
        <v>47020000.019999996</v>
      </c>
      <c r="I28" s="644"/>
      <c r="J28" s="642">
        <f>(F28+D28)/B28</f>
        <v>0.38029654009884678</v>
      </c>
    </row>
    <row r="29" spans="1:10" x14ac:dyDescent="0.25">
      <c r="A29" s="639" t="s">
        <v>392</v>
      </c>
      <c r="B29" s="648">
        <v>18969000</v>
      </c>
      <c r="C29" s="647"/>
      <c r="D29" s="658">
        <v>18703592.449999999</v>
      </c>
      <c r="E29" s="655"/>
      <c r="F29" s="648">
        <v>1185980.75</v>
      </c>
      <c r="G29" s="644"/>
      <c r="H29" s="648">
        <f>B29-(D29+F29)</f>
        <v>-920573.19999999925</v>
      </c>
      <c r="I29" s="645" t="s">
        <v>3511</v>
      </c>
      <c r="J29" s="649">
        <f>(F29+D29)/B29</f>
        <v>1.0485304022352258</v>
      </c>
    </row>
    <row r="30" spans="1:10" x14ac:dyDescent="0.25">
      <c r="A30" s="634" t="s">
        <v>393</v>
      </c>
      <c r="B30" s="650">
        <f>SUM(B28:B29)</f>
        <v>94844000</v>
      </c>
      <c r="C30" s="650"/>
      <c r="D30" s="650">
        <f>SUM(D28:D29)</f>
        <v>31970346.199999999</v>
      </c>
      <c r="E30" s="650"/>
      <c r="F30" s="650">
        <f>SUM(F28:F29)</f>
        <v>16774226.98</v>
      </c>
      <c r="G30" s="650"/>
      <c r="H30" s="650">
        <f>SUM(H28:H29)</f>
        <v>46099426.819999993</v>
      </c>
      <c r="I30" s="651"/>
      <c r="J30" s="652">
        <f>(F30+D30)/B30</f>
        <v>0.51394472164818017</v>
      </c>
    </row>
    <row r="31" spans="1:10" x14ac:dyDescent="0.25">
      <c r="A31" s="634"/>
      <c r="B31" s="634"/>
      <c r="C31" s="634"/>
      <c r="D31" s="653"/>
      <c r="E31" s="640"/>
      <c r="F31" s="644"/>
      <c r="G31" s="644"/>
      <c r="H31" s="641"/>
      <c r="I31" s="644"/>
      <c r="J31" s="642"/>
    </row>
    <row r="32" spans="1:10" x14ac:dyDescent="0.25">
      <c r="A32" s="634" t="s">
        <v>4124</v>
      </c>
      <c r="B32" s="634"/>
      <c r="C32" s="634"/>
      <c r="D32" s="653"/>
      <c r="E32" s="640"/>
      <c r="F32" s="644"/>
      <c r="G32" s="644"/>
      <c r="H32" s="641"/>
      <c r="I32" s="644"/>
      <c r="J32" s="642"/>
    </row>
    <row r="33" spans="1:10" x14ac:dyDescent="0.25">
      <c r="A33" s="634" t="s">
        <v>3536</v>
      </c>
      <c r="B33" s="634"/>
      <c r="C33" s="634"/>
      <c r="D33" s="653"/>
      <c r="E33" s="640"/>
      <c r="F33" s="644"/>
      <c r="G33" s="644"/>
      <c r="H33" s="641"/>
      <c r="I33" s="644"/>
      <c r="J33" s="642"/>
    </row>
    <row r="34" spans="1:10" x14ac:dyDescent="0.25">
      <c r="A34" s="639" t="s">
        <v>94</v>
      </c>
      <c r="B34" s="648">
        <v>143983769.55000001</v>
      </c>
      <c r="C34" s="640"/>
      <c r="D34" s="658">
        <v>35739340.399999999</v>
      </c>
      <c r="E34" s="640"/>
      <c r="F34" s="648">
        <v>15652188.220000001</v>
      </c>
      <c r="G34" s="640"/>
      <c r="H34" s="648">
        <f>B34-(D34+F34)</f>
        <v>92592240.930000007</v>
      </c>
      <c r="I34" s="644"/>
      <c r="J34" s="649">
        <f>(F34+D34)/B34</f>
        <v>0.35692584504917896</v>
      </c>
    </row>
    <row r="35" spans="1:10" x14ac:dyDescent="0.25">
      <c r="A35" s="634" t="s">
        <v>1504</v>
      </c>
      <c r="B35" s="659">
        <f>SUM(B34)</f>
        <v>143983769.55000001</v>
      </c>
      <c r="C35" s="659"/>
      <c r="D35" s="659">
        <f>SUM(D34)</f>
        <v>35739340.399999999</v>
      </c>
      <c r="E35" s="659"/>
      <c r="F35" s="659">
        <f>SUM(F34)</f>
        <v>15652188.220000001</v>
      </c>
      <c r="G35" s="659"/>
      <c r="H35" s="659">
        <f>SUM(H34)</f>
        <v>92592240.930000007</v>
      </c>
      <c r="I35" s="660"/>
      <c r="J35" s="652">
        <f>(F35+D35)/B35</f>
        <v>0.35692584504917896</v>
      </c>
    </row>
    <row r="36" spans="1:10" x14ac:dyDescent="0.25">
      <c r="A36" s="634"/>
      <c r="B36" s="644"/>
      <c r="C36" s="644"/>
      <c r="D36" s="657"/>
      <c r="E36" s="644"/>
      <c r="F36" s="661"/>
      <c r="G36" s="644"/>
      <c r="H36" s="641"/>
      <c r="I36" s="661"/>
      <c r="J36" s="642"/>
    </row>
    <row r="37" spans="1:10" x14ac:dyDescent="0.25">
      <c r="A37" s="634" t="s">
        <v>1505</v>
      </c>
      <c r="B37" s="662">
        <f>B10+B19+B24+B30+B35</f>
        <v>35095286357.860001</v>
      </c>
      <c r="C37" s="662"/>
      <c r="D37" s="662">
        <f>D10+D19+D24+D30+D35</f>
        <v>7471161532.5900002</v>
      </c>
      <c r="E37" s="662"/>
      <c r="F37" s="662">
        <f>F10+F19+F24+F30+F35</f>
        <v>6886739697.9399996</v>
      </c>
      <c r="G37" s="662"/>
      <c r="H37" s="662">
        <f>H10+H19+H24+H30+H35</f>
        <v>20737385127.329998</v>
      </c>
      <c r="I37" s="651"/>
      <c r="J37" s="652">
        <f>(F37+D37)/B37</f>
        <v>0.40911195549525353</v>
      </c>
    </row>
    <row r="38" spans="1:10" x14ac:dyDescent="0.25">
      <c r="A38" s="634"/>
      <c r="B38" s="650"/>
      <c r="C38" s="650"/>
      <c r="D38" s="650"/>
      <c r="E38" s="650"/>
      <c r="F38" s="650"/>
      <c r="G38" s="650"/>
      <c r="H38" s="650"/>
      <c r="I38" s="651"/>
      <c r="J38" s="652"/>
    </row>
    <row r="39" spans="1:10" x14ac:dyDescent="0.25">
      <c r="A39" s="634" t="s">
        <v>75</v>
      </c>
      <c r="B39" s="651"/>
      <c r="C39" s="651"/>
      <c r="D39" s="651"/>
      <c r="E39" s="651"/>
      <c r="F39" s="651"/>
      <c r="G39" s="651"/>
      <c r="H39" s="641"/>
      <c r="I39" s="651"/>
      <c r="J39" s="642"/>
    </row>
    <row r="40" spans="1:10" x14ac:dyDescent="0.25">
      <c r="A40" s="634" t="s">
        <v>1390</v>
      </c>
      <c r="B40" s="634"/>
      <c r="C40" s="634"/>
      <c r="D40" s="653"/>
      <c r="E40" s="653"/>
      <c r="F40" s="644"/>
      <c r="G40" s="644"/>
      <c r="H40" s="641"/>
      <c r="I40" s="644"/>
      <c r="J40" s="642"/>
    </row>
    <row r="41" spans="1:10" x14ac:dyDescent="0.25">
      <c r="A41" s="639" t="s">
        <v>94</v>
      </c>
      <c r="B41" s="640">
        <v>513347741.38999999</v>
      </c>
      <c r="C41" s="640"/>
      <c r="D41" s="640">
        <v>34222671.509999998</v>
      </c>
      <c r="E41" s="640"/>
      <c r="F41" s="644">
        <v>392790745.01999998</v>
      </c>
      <c r="G41" s="640"/>
      <c r="H41" s="641">
        <f>B41-(D41+F41)</f>
        <v>86334324.860000014</v>
      </c>
      <c r="I41" s="644"/>
      <c r="J41" s="642">
        <f t="shared" ref="J41:J46" si="3">(F41+D41)/B41</f>
        <v>0.83182097066165872</v>
      </c>
    </row>
    <row r="42" spans="1:10" x14ac:dyDescent="0.25">
      <c r="A42" s="639" t="s">
        <v>95</v>
      </c>
      <c r="B42" s="640">
        <v>3548065047.6999998</v>
      </c>
      <c r="C42" s="634"/>
      <c r="D42" s="640">
        <v>644415722.15999997</v>
      </c>
      <c r="E42" s="653"/>
      <c r="F42" s="644">
        <v>1065127001.5</v>
      </c>
      <c r="G42" s="644"/>
      <c r="H42" s="641">
        <f>B42-(D42+F42)</f>
        <v>1838522324.04</v>
      </c>
      <c r="I42" s="644"/>
      <c r="J42" s="642">
        <f t="shared" si="3"/>
        <v>0.48182395211953483</v>
      </c>
    </row>
    <row r="43" spans="1:10" x14ac:dyDescent="0.25">
      <c r="A43" s="639" t="s">
        <v>392</v>
      </c>
      <c r="B43" s="640">
        <v>59410512.399999999</v>
      </c>
      <c r="C43" s="634"/>
      <c r="D43" s="640">
        <v>0</v>
      </c>
      <c r="E43" s="653"/>
      <c r="F43" s="644">
        <v>2241030</v>
      </c>
      <c r="G43" s="644"/>
      <c r="H43" s="641">
        <f>B43-(D43+F43)</f>
        <v>57169482.399999999</v>
      </c>
      <c r="I43" s="644"/>
      <c r="J43" s="642">
        <f t="shared" si="3"/>
        <v>3.7721102031767699E-2</v>
      </c>
    </row>
    <row r="44" spans="1:10" x14ac:dyDescent="0.25">
      <c r="A44" s="639" t="s">
        <v>518</v>
      </c>
      <c r="B44" s="640">
        <v>3000000</v>
      </c>
      <c r="C44" s="639"/>
      <c r="D44" s="640">
        <v>0</v>
      </c>
      <c r="E44" s="640"/>
      <c r="F44" s="644">
        <v>0</v>
      </c>
      <c r="G44" s="644"/>
      <c r="H44" s="641">
        <f>B44-(D44+F44)</f>
        <v>3000000</v>
      </c>
      <c r="I44" s="644"/>
      <c r="J44" s="642">
        <f t="shared" si="3"/>
        <v>0</v>
      </c>
    </row>
    <row r="45" spans="1:10" x14ac:dyDescent="0.25">
      <c r="A45" s="639" t="s">
        <v>99</v>
      </c>
      <c r="B45" s="648">
        <v>153909442.88999999</v>
      </c>
      <c r="C45" s="634"/>
      <c r="D45" s="648">
        <v>30856499.75</v>
      </c>
      <c r="E45" s="653"/>
      <c r="F45" s="648">
        <v>22967123.399999999</v>
      </c>
      <c r="G45" s="644"/>
      <c r="H45" s="648">
        <f>B45-(D45+F45)</f>
        <v>100085819.73999998</v>
      </c>
      <c r="I45" s="644"/>
      <c r="J45" s="649">
        <f t="shared" si="3"/>
        <v>0.34970968732872398</v>
      </c>
    </row>
    <row r="46" spans="1:10" x14ac:dyDescent="0.25">
      <c r="A46" s="634" t="s">
        <v>391</v>
      </c>
      <c r="B46" s="650">
        <f>SUM(B41:B45)</f>
        <v>4277732744.3799996</v>
      </c>
      <c r="C46" s="650"/>
      <c r="D46" s="650">
        <f>SUM(D41:D45)</f>
        <v>709494893.41999996</v>
      </c>
      <c r="E46" s="650"/>
      <c r="F46" s="650">
        <f>SUM(F41:F45)</f>
        <v>1483125899.9200001</v>
      </c>
      <c r="G46" s="650"/>
      <c r="H46" s="650">
        <f>SUM(H41:H45)</f>
        <v>2085111951.0400002</v>
      </c>
      <c r="I46" s="651"/>
      <c r="J46" s="652">
        <f t="shared" si="3"/>
        <v>0.51256610086747978</v>
      </c>
    </row>
    <row r="47" spans="1:10" x14ac:dyDescent="0.25">
      <c r="A47" s="634"/>
      <c r="B47" s="640"/>
      <c r="C47" s="640"/>
      <c r="D47" s="644"/>
      <c r="E47" s="640"/>
      <c r="F47" s="643"/>
      <c r="G47" s="640"/>
      <c r="H47" s="641"/>
      <c r="I47" s="643"/>
      <c r="J47" s="642"/>
    </row>
    <row r="48" spans="1:10" x14ac:dyDescent="0.25">
      <c r="A48" s="634" t="s">
        <v>4126</v>
      </c>
      <c r="B48" s="634"/>
      <c r="C48" s="634"/>
      <c r="D48" s="653"/>
      <c r="E48" s="653"/>
      <c r="F48" s="644"/>
      <c r="G48" s="644"/>
      <c r="H48" s="641"/>
      <c r="I48" s="644"/>
      <c r="J48" s="642"/>
    </row>
    <row r="49" spans="1:10" x14ac:dyDescent="0.25">
      <c r="A49" s="634" t="s">
        <v>1094</v>
      </c>
      <c r="B49" s="634"/>
      <c r="C49" s="634"/>
      <c r="D49" s="653"/>
      <c r="E49" s="653"/>
      <c r="F49" s="644"/>
      <c r="G49" s="644"/>
      <c r="H49" s="641"/>
      <c r="I49" s="644"/>
      <c r="J49" s="642"/>
    </row>
    <row r="50" spans="1:10" x14ac:dyDescent="0.25">
      <c r="A50" s="639" t="s">
        <v>94</v>
      </c>
      <c r="B50" s="640">
        <v>117196000</v>
      </c>
      <c r="C50" s="640"/>
      <c r="D50" s="644">
        <v>15120534.15</v>
      </c>
      <c r="E50" s="640"/>
      <c r="F50" s="644">
        <v>27910159.34</v>
      </c>
      <c r="G50" s="640"/>
      <c r="H50" s="641">
        <f>B50-(D50+F50)</f>
        <v>74165306.50999999</v>
      </c>
      <c r="I50" s="644"/>
      <c r="J50" s="642">
        <f t="shared" ref="J50:J55" si="4">(F50+D50)/B50</f>
        <v>0.36716861915082427</v>
      </c>
    </row>
    <row r="51" spans="1:10" x14ac:dyDescent="0.25">
      <c r="A51" s="639" t="s">
        <v>95</v>
      </c>
      <c r="B51" s="640">
        <v>157800000</v>
      </c>
      <c r="C51" s="634"/>
      <c r="D51" s="644">
        <v>232373355.84</v>
      </c>
      <c r="E51" s="653"/>
      <c r="F51" s="644">
        <v>110549074.67</v>
      </c>
      <c r="G51" s="644"/>
      <c r="H51" s="641">
        <f>B51-(D51+F51)</f>
        <v>-185122430.50999999</v>
      </c>
      <c r="I51" s="645" t="s">
        <v>3511</v>
      </c>
      <c r="J51" s="642">
        <f t="shared" si="4"/>
        <v>2.1731459474651458</v>
      </c>
    </row>
    <row r="52" spans="1:10" x14ac:dyDescent="0.25">
      <c r="A52" s="639" t="s">
        <v>392</v>
      </c>
      <c r="B52" s="640">
        <v>234266356.03999999</v>
      </c>
      <c r="C52" s="634"/>
      <c r="D52" s="644">
        <v>22679401.350000001</v>
      </c>
      <c r="E52" s="653"/>
      <c r="F52" s="644">
        <v>20258104.440000001</v>
      </c>
      <c r="G52" s="644"/>
      <c r="H52" s="641">
        <f>B52-(D52+F52)</f>
        <v>191328850.25</v>
      </c>
      <c r="I52" s="644"/>
      <c r="J52" s="642">
        <f t="shared" si="4"/>
        <v>0.18328498601253954</v>
      </c>
    </row>
    <row r="53" spans="1:10" x14ac:dyDescent="0.25">
      <c r="A53" s="639" t="s">
        <v>98</v>
      </c>
      <c r="B53" s="640">
        <v>61280145.109999999</v>
      </c>
      <c r="C53" s="634"/>
      <c r="D53" s="644">
        <v>24663216.199999999</v>
      </c>
      <c r="E53" s="653"/>
      <c r="F53" s="644">
        <v>5254439.95</v>
      </c>
      <c r="G53" s="644"/>
      <c r="H53" s="641">
        <f>B53-(D53+F53)</f>
        <v>31362488.960000001</v>
      </c>
      <c r="I53" s="644"/>
      <c r="J53" s="642">
        <f t="shared" si="4"/>
        <v>0.48821124846060271</v>
      </c>
    </row>
    <row r="54" spans="1:10" x14ac:dyDescent="0.25">
      <c r="A54" s="639" t="s">
        <v>99</v>
      </c>
      <c r="B54" s="648">
        <v>10000000</v>
      </c>
      <c r="C54" s="634"/>
      <c r="D54" s="648">
        <v>0</v>
      </c>
      <c r="E54" s="653"/>
      <c r="F54" s="648">
        <v>0</v>
      </c>
      <c r="G54" s="644"/>
      <c r="H54" s="648">
        <f>B54-(D54+F54)</f>
        <v>10000000</v>
      </c>
      <c r="I54" s="644"/>
      <c r="J54" s="649">
        <f t="shared" si="4"/>
        <v>0</v>
      </c>
    </row>
    <row r="55" spans="1:10" x14ac:dyDescent="0.25">
      <c r="A55" s="634" t="s">
        <v>1506</v>
      </c>
      <c r="B55" s="650">
        <f>SUM(B50:B54)</f>
        <v>580542501.14999998</v>
      </c>
      <c r="C55" s="650"/>
      <c r="D55" s="650">
        <f>SUM(D50:D54)</f>
        <v>294836507.54000002</v>
      </c>
      <c r="E55" s="650"/>
      <c r="F55" s="650">
        <f>SUM(F50:F54)</f>
        <v>163971778.39999998</v>
      </c>
      <c r="G55" s="650"/>
      <c r="H55" s="650">
        <f>SUM(H50:H54)</f>
        <v>121734215.21000001</v>
      </c>
      <c r="I55" s="662"/>
      <c r="J55" s="652">
        <f t="shared" si="4"/>
        <v>0.79030955534029645</v>
      </c>
    </row>
    <row r="56" spans="1:10" x14ac:dyDescent="0.25">
      <c r="A56" s="639"/>
      <c r="B56" s="639"/>
      <c r="C56" s="639"/>
      <c r="D56" s="639"/>
      <c r="E56" s="639"/>
      <c r="F56" s="639"/>
      <c r="G56" s="639"/>
      <c r="H56" s="641"/>
      <c r="I56" s="639"/>
      <c r="J56" s="642"/>
    </row>
    <row r="57" spans="1:10" x14ac:dyDescent="0.25">
      <c r="A57" s="634" t="s">
        <v>4128</v>
      </c>
      <c r="B57" s="634"/>
      <c r="C57" s="634"/>
      <c r="D57" s="653"/>
      <c r="E57" s="653"/>
      <c r="F57" s="644"/>
      <c r="G57" s="644"/>
      <c r="H57" s="641"/>
      <c r="I57" s="644"/>
      <c r="J57" s="642"/>
    </row>
    <row r="58" spans="1:10" x14ac:dyDescent="0.25">
      <c r="A58" s="634" t="s">
        <v>1095</v>
      </c>
      <c r="B58" s="634"/>
      <c r="C58" s="634"/>
      <c r="D58" s="653"/>
      <c r="E58" s="653"/>
      <c r="F58" s="644"/>
      <c r="G58" s="644"/>
      <c r="H58" s="641"/>
      <c r="I58" s="644"/>
      <c r="J58" s="642"/>
    </row>
    <row r="59" spans="1:10" x14ac:dyDescent="0.25">
      <c r="A59" s="639" t="s">
        <v>94</v>
      </c>
      <c r="B59" s="640">
        <v>147124463.19999999</v>
      </c>
      <c r="C59" s="634"/>
      <c r="D59" s="644">
        <v>22822987.800000001</v>
      </c>
      <c r="E59" s="653"/>
      <c r="F59" s="644">
        <v>97968586.900000006</v>
      </c>
      <c r="G59" s="644"/>
      <c r="H59" s="641">
        <f t="shared" ref="H59:H65" si="5">B59-(D59+F59)</f>
        <v>26332888.499999985</v>
      </c>
      <c r="I59" s="644"/>
      <c r="J59" s="642">
        <f>(F59+D59)/B59</f>
        <v>0.82101624755494784</v>
      </c>
    </row>
    <row r="60" spans="1:10" x14ac:dyDescent="0.25">
      <c r="A60" s="639" t="s">
        <v>95</v>
      </c>
      <c r="B60" s="640">
        <v>6968128.7999999998</v>
      </c>
      <c r="C60" s="634"/>
      <c r="D60" s="644">
        <v>4008744.48</v>
      </c>
      <c r="E60" s="653"/>
      <c r="F60" s="644">
        <v>1476592.8</v>
      </c>
      <c r="G60" s="644"/>
      <c r="H60" s="641">
        <f t="shared" si="5"/>
        <v>1482791.5199999996</v>
      </c>
      <c r="I60" s="644"/>
      <c r="J60" s="642">
        <f>(F60+D60)/B60</f>
        <v>0.78720377269719821</v>
      </c>
    </row>
    <row r="61" spans="1:10" x14ac:dyDescent="0.25">
      <c r="A61" s="639" t="s">
        <v>392</v>
      </c>
      <c r="B61" s="640">
        <v>15346870</v>
      </c>
      <c r="C61" s="634"/>
      <c r="D61" s="644">
        <v>1000000</v>
      </c>
      <c r="E61" s="653"/>
      <c r="F61" s="644">
        <v>711270</v>
      </c>
      <c r="G61" s="644"/>
      <c r="H61" s="641">
        <f t="shared" si="5"/>
        <v>13635600</v>
      </c>
      <c r="I61" s="644"/>
      <c r="J61" s="642">
        <f>(F61+D61)/B61</f>
        <v>0.11150612470164926</v>
      </c>
    </row>
    <row r="62" spans="1:10" x14ac:dyDescent="0.25">
      <c r="A62" s="639" t="s">
        <v>97</v>
      </c>
      <c r="B62" s="640">
        <v>1753474.95</v>
      </c>
      <c r="C62" s="634"/>
      <c r="D62" s="644">
        <v>0</v>
      </c>
      <c r="E62" s="653"/>
      <c r="F62" s="644">
        <v>1753474.95</v>
      </c>
      <c r="G62" s="644"/>
      <c r="H62" s="641">
        <f t="shared" si="5"/>
        <v>0</v>
      </c>
      <c r="I62" s="644"/>
      <c r="J62" s="642">
        <f t="shared" ref="J62:J77" si="6">(F62+D62)/B62</f>
        <v>1</v>
      </c>
    </row>
    <row r="63" spans="1:10" x14ac:dyDescent="0.25">
      <c r="A63" s="639" t="s">
        <v>98</v>
      </c>
      <c r="B63" s="640">
        <v>1827235369.22</v>
      </c>
      <c r="C63" s="634"/>
      <c r="D63" s="644">
        <v>54742625.25</v>
      </c>
      <c r="E63" s="653"/>
      <c r="F63" s="644">
        <v>177067406.69999999</v>
      </c>
      <c r="G63" s="644"/>
      <c r="H63" s="641">
        <f t="shared" si="5"/>
        <v>1595425337.27</v>
      </c>
      <c r="I63" s="644"/>
      <c r="J63" s="642">
        <f t="shared" si="6"/>
        <v>0.12686380520805798</v>
      </c>
    </row>
    <row r="64" spans="1:10" x14ac:dyDescent="0.25">
      <c r="A64" s="639" t="s">
        <v>99</v>
      </c>
      <c r="B64" s="640">
        <v>40557251.100000001</v>
      </c>
      <c r="C64" s="634"/>
      <c r="D64" s="644">
        <v>19497640</v>
      </c>
      <c r="E64" s="653"/>
      <c r="F64" s="644">
        <v>24900611.100000001</v>
      </c>
      <c r="G64" s="644"/>
      <c r="H64" s="641">
        <f t="shared" si="5"/>
        <v>-3841000</v>
      </c>
      <c r="I64" s="645" t="s">
        <v>3511</v>
      </c>
      <c r="J64" s="642">
        <f t="shared" si="6"/>
        <v>1.0947056295933233</v>
      </c>
    </row>
    <row r="65" spans="1:10" x14ac:dyDescent="0.25">
      <c r="A65" s="639" t="s">
        <v>122</v>
      </c>
      <c r="B65" s="648">
        <v>3034549</v>
      </c>
      <c r="C65" s="634"/>
      <c r="D65" s="648">
        <v>0</v>
      </c>
      <c r="E65" s="653"/>
      <c r="F65" s="648">
        <v>3034549</v>
      </c>
      <c r="G65" s="644"/>
      <c r="H65" s="648">
        <f t="shared" si="5"/>
        <v>0</v>
      </c>
      <c r="I65" s="644"/>
      <c r="J65" s="649">
        <f t="shared" si="6"/>
        <v>1</v>
      </c>
    </row>
    <row r="66" spans="1:10" x14ac:dyDescent="0.25">
      <c r="A66" s="634" t="s">
        <v>1507</v>
      </c>
      <c r="B66" s="650">
        <f>SUM(B59:B65)</f>
        <v>2042020106.27</v>
      </c>
      <c r="C66" s="650"/>
      <c r="D66" s="650">
        <f>SUM(D59:D65)</f>
        <v>102071997.53</v>
      </c>
      <c r="E66" s="650"/>
      <c r="F66" s="650">
        <f>SUM(F59:F65)</f>
        <v>306912491.45000005</v>
      </c>
      <c r="G66" s="650"/>
      <c r="H66" s="650">
        <f>SUM(H59:H65)</f>
        <v>1633035617.29</v>
      </c>
      <c r="I66" s="651"/>
      <c r="J66" s="652">
        <f t="shared" si="6"/>
        <v>0.20028426151349721</v>
      </c>
    </row>
    <row r="67" spans="1:10" x14ac:dyDescent="0.25">
      <c r="A67" s="634"/>
      <c r="B67" s="650"/>
      <c r="C67" s="650"/>
      <c r="D67" s="650"/>
      <c r="E67" s="650"/>
      <c r="F67" s="650"/>
      <c r="G67" s="650"/>
      <c r="H67" s="650"/>
      <c r="I67" s="651"/>
      <c r="J67" s="652"/>
    </row>
    <row r="68" spans="1:10" x14ac:dyDescent="0.25">
      <c r="A68" s="634" t="s">
        <v>2309</v>
      </c>
      <c r="B68" s="634"/>
      <c r="C68" s="663"/>
      <c r="D68" s="663"/>
      <c r="E68" s="663"/>
      <c r="F68" s="663"/>
      <c r="G68" s="663"/>
      <c r="H68" s="641"/>
      <c r="I68" s="663"/>
      <c r="J68" s="642"/>
    </row>
    <row r="69" spans="1:10" x14ac:dyDescent="0.25">
      <c r="A69" s="634" t="s">
        <v>1774</v>
      </c>
      <c r="B69" s="634"/>
      <c r="C69" s="663"/>
      <c r="D69" s="663"/>
      <c r="E69" s="663"/>
      <c r="F69" s="663"/>
      <c r="G69" s="663"/>
      <c r="H69" s="641"/>
      <c r="I69" s="663"/>
      <c r="J69" s="642"/>
    </row>
    <row r="70" spans="1:10" x14ac:dyDescent="0.25">
      <c r="A70" s="634"/>
      <c r="B70" s="634"/>
      <c r="C70" s="663"/>
      <c r="D70" s="663"/>
      <c r="E70" s="663"/>
      <c r="F70" s="663"/>
      <c r="G70" s="663"/>
      <c r="H70" s="641"/>
      <c r="I70" s="663"/>
      <c r="J70" s="642"/>
    </row>
    <row r="71" spans="1:10" x14ac:dyDescent="0.25">
      <c r="A71" s="639" t="s">
        <v>94</v>
      </c>
      <c r="B71" s="640">
        <v>5487161.29</v>
      </c>
      <c r="C71" s="640"/>
      <c r="D71" s="644">
        <v>0</v>
      </c>
      <c r="E71" s="640"/>
      <c r="F71" s="644">
        <v>0</v>
      </c>
      <c r="G71" s="640"/>
      <c r="H71" s="641">
        <f>B71-(D71+F71)</f>
        <v>5487161.29</v>
      </c>
      <c r="I71" s="644"/>
      <c r="J71" s="642">
        <f t="shared" si="6"/>
        <v>0</v>
      </c>
    </row>
    <row r="72" spans="1:10" x14ac:dyDescent="0.25">
      <c r="A72" s="639" t="s">
        <v>95</v>
      </c>
      <c r="B72" s="644">
        <v>2106736233</v>
      </c>
      <c r="C72" s="663"/>
      <c r="D72" s="644">
        <v>456332802.5</v>
      </c>
      <c r="E72" s="663"/>
      <c r="F72" s="644">
        <v>130593474.44</v>
      </c>
      <c r="G72" s="663"/>
      <c r="H72" s="641">
        <f>B72-(D72+F72)</f>
        <v>1519809956.0599999</v>
      </c>
      <c r="I72" s="663"/>
      <c r="J72" s="642">
        <f t="shared" si="6"/>
        <v>0.27859504561907822</v>
      </c>
    </row>
    <row r="73" spans="1:10" x14ac:dyDescent="0.25">
      <c r="A73" s="639" t="s">
        <v>99</v>
      </c>
      <c r="B73" s="640">
        <v>503085350.19999999</v>
      </c>
      <c r="C73" s="634"/>
      <c r="D73" s="644">
        <v>27296129.600000001</v>
      </c>
      <c r="E73" s="653"/>
      <c r="F73" s="644">
        <v>0</v>
      </c>
      <c r="G73" s="644"/>
      <c r="H73" s="641">
        <f>B73-(D73+F73)</f>
        <v>475789220.59999996</v>
      </c>
      <c r="I73" s="644"/>
      <c r="J73" s="642">
        <f t="shared" si="6"/>
        <v>5.4257452714829624E-2</v>
      </c>
    </row>
    <row r="74" spans="1:10" x14ac:dyDescent="0.25">
      <c r="A74" s="639" t="s">
        <v>122</v>
      </c>
      <c r="B74" s="648">
        <v>9304934457</v>
      </c>
      <c r="C74" s="644"/>
      <c r="D74" s="648">
        <v>1786479599.8499999</v>
      </c>
      <c r="E74" s="644"/>
      <c r="F74" s="648">
        <v>6487745385.4200001</v>
      </c>
      <c r="G74" s="644"/>
      <c r="H74" s="648">
        <f>B74-(D74+F74)</f>
        <v>1030709471.7299995</v>
      </c>
      <c r="I74" s="663"/>
      <c r="J74" s="649">
        <f t="shared" si="6"/>
        <v>0.88922979774945021</v>
      </c>
    </row>
    <row r="75" spans="1:10" x14ac:dyDescent="0.25">
      <c r="A75" s="634" t="s">
        <v>2310</v>
      </c>
      <c r="B75" s="662">
        <f>SUM(B71:B74)</f>
        <v>11920243201.49</v>
      </c>
      <c r="C75" s="662"/>
      <c r="D75" s="662">
        <f>SUM(D71:D74)</f>
        <v>2270108531.9499998</v>
      </c>
      <c r="E75" s="662"/>
      <c r="F75" s="662">
        <f>SUM(F71:F74)</f>
        <v>6618338859.8599997</v>
      </c>
      <c r="G75" s="662"/>
      <c r="H75" s="662">
        <f>SUM(H71:H74)</f>
        <v>3031795809.6799994</v>
      </c>
      <c r="I75" s="664"/>
      <c r="J75" s="652">
        <f t="shared" si="6"/>
        <v>0.7456599032055794</v>
      </c>
    </row>
    <row r="76" spans="1:10" x14ac:dyDescent="0.25">
      <c r="A76" s="663"/>
      <c r="B76" s="663"/>
      <c r="C76" s="663"/>
      <c r="D76" s="663"/>
      <c r="E76" s="663"/>
      <c r="F76" s="663"/>
      <c r="G76" s="663"/>
      <c r="H76" s="641" t="s">
        <v>468</v>
      </c>
      <c r="I76" s="663"/>
      <c r="J76" s="665"/>
    </row>
    <row r="77" spans="1:10" ht="15.75" thickBot="1" x14ac:dyDescent="0.3">
      <c r="A77" s="634" t="s">
        <v>388</v>
      </c>
      <c r="B77" s="666">
        <f>B37+B46+B55+B66+B75</f>
        <v>53915824911.149994</v>
      </c>
      <c r="C77" s="666"/>
      <c r="D77" s="666">
        <f>D37+D46+D55+D66+D75</f>
        <v>10847673463.029999</v>
      </c>
      <c r="E77" s="666"/>
      <c r="F77" s="666">
        <f>F37+F46+F55+F66+F75</f>
        <v>15459088727.57</v>
      </c>
      <c r="G77" s="666"/>
      <c r="H77" s="666">
        <f>H37+H46+H55+H66+H75</f>
        <v>27609062720.549999</v>
      </c>
      <c r="I77" s="661"/>
      <c r="J77" s="667">
        <f t="shared" si="6"/>
        <v>0.48792283590118385</v>
      </c>
    </row>
    <row r="78" spans="1:10" ht="15.75" thickTop="1" x14ac:dyDescent="0.25">
      <c r="A78" s="647"/>
      <c r="B78" s="647"/>
      <c r="C78" s="647"/>
      <c r="D78" s="647"/>
      <c r="E78" s="647"/>
      <c r="F78" s="647"/>
      <c r="G78" s="647"/>
      <c r="H78" s="647"/>
      <c r="I78" s="647"/>
      <c r="J78" s="647"/>
    </row>
    <row r="79" spans="1:10" x14ac:dyDescent="0.25">
      <c r="A79" s="633" t="s">
        <v>3436</v>
      </c>
      <c r="B79" s="178"/>
      <c r="C79" s="178"/>
      <c r="D79" s="178"/>
      <c r="E79" s="178"/>
      <c r="F79" s="178"/>
      <c r="G79" s="178"/>
      <c r="H79" s="178"/>
      <c r="I79" s="17"/>
      <c r="J79" s="178"/>
    </row>
    <row r="80" spans="1:10" x14ac:dyDescent="0.25">
      <c r="A80" s="178"/>
      <c r="B80" s="178"/>
      <c r="C80" s="178"/>
      <c r="D80" s="178"/>
      <c r="E80" s="178"/>
      <c r="F80" s="178"/>
      <c r="G80" s="178"/>
      <c r="H80" s="178"/>
      <c r="I80" s="17"/>
      <c r="J80" s="178"/>
    </row>
    <row r="81" spans="1:10" ht="28.5" customHeight="1" x14ac:dyDescent="0.25">
      <c r="A81" s="1086" t="s">
        <v>4131</v>
      </c>
      <c r="B81" s="1086"/>
      <c r="C81" s="1086"/>
      <c r="D81" s="1086"/>
      <c r="E81" s="1086"/>
      <c r="F81" s="1086"/>
      <c r="G81" s="1086"/>
      <c r="H81" s="1086"/>
      <c r="I81" s="1086"/>
      <c r="J81" s="1086"/>
    </row>
    <row r="82" spans="1:10" ht="31.5" customHeight="1" x14ac:dyDescent="0.25">
      <c r="A82" s="1086" t="s">
        <v>4132</v>
      </c>
      <c r="B82" s="1086"/>
      <c r="C82" s="1086"/>
      <c r="D82" s="1086"/>
      <c r="E82" s="1086"/>
      <c r="F82" s="1086"/>
      <c r="G82" s="1086"/>
      <c r="H82" s="1086"/>
      <c r="I82" s="1086"/>
      <c r="J82" s="1086"/>
    </row>
  </sheetData>
  <mergeCells count="2">
    <mergeCell ref="A81:J81"/>
    <mergeCell ref="A82:J82"/>
  </mergeCells>
  <phoneticPr fontId="0" type="noConversion"/>
  <pageMargins left="0.70866141732283472" right="0.23622047244094491" top="1.6141732283464567" bottom="1.1417322834645669" header="0.51181102362204722" footer="0.55118110236220474"/>
  <pageSetup paperSize="9" scale="70" firstPageNumber="39" orientation="portrait" r:id="rId1"/>
  <headerFooter>
    <oddHeader xml:space="preserve">&amp;C&amp;"Arial Negrita,Negrita"&amp;K000000UNIVERSIDAD DE COSTA RICA
VICERRECTORÍA DE ADMINISTRACIÓN
OFICINA DE ADMINISTRACIÓN FINANCIERA
EGRESOS PARA COMPRAS DE ACTIVOS POR PROGRAMA
Al 30 de junio de 2017
Expresado en colones&amp;R&amp;"Arial Negrita,Negrita"&amp;K000000
</oddHead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9"/>
  <sheetViews>
    <sheetView workbookViewId="0">
      <selection activeCell="D8" sqref="D8"/>
    </sheetView>
  </sheetViews>
  <sheetFormatPr baseColWidth="10" defaultRowHeight="12.75" x14ac:dyDescent="0.2"/>
  <sheetData>
    <row r="19" spans="1:1" x14ac:dyDescent="0.2">
      <c r="A19" s="2"/>
    </row>
  </sheetData>
  <phoneticPr fontId="0" type="noConversion"/>
  <printOptions horizontalCentered="1" verticalCentered="1"/>
  <pageMargins left="1.1811023622047245" right="0.74803149606299213" top="0" bottom="0.98425196850393704" header="0" footer="0"/>
  <pageSetup paperSize="9" scale="95" firstPageNumber="40"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M12"/>
  <sheetViews>
    <sheetView workbookViewId="0">
      <selection activeCell="C19" sqref="C19"/>
    </sheetView>
  </sheetViews>
  <sheetFormatPr baseColWidth="10" defaultColWidth="11.42578125" defaultRowHeight="15" x14ac:dyDescent="0.2"/>
  <cols>
    <col min="1" max="1" width="29.85546875" style="109" customWidth="1"/>
    <col min="2" max="9" width="20.42578125" style="109" customWidth="1"/>
    <col min="10" max="10" width="23.28515625" style="109" customWidth="1"/>
    <col min="11" max="12" width="20.42578125" style="109" customWidth="1"/>
    <col min="13" max="256" width="11.42578125" style="109"/>
    <col min="257" max="257" width="36" style="109" customWidth="1"/>
    <col min="258" max="258" width="21" style="109" customWidth="1"/>
    <col min="259" max="260" width="20.42578125" style="109" customWidth="1"/>
    <col min="261" max="261" width="19.85546875" style="109" customWidth="1"/>
    <col min="262" max="262" width="19.42578125" style="109" customWidth="1"/>
    <col min="263" max="263" width="25.28515625" style="109" customWidth="1"/>
    <col min="264" max="264" width="23.42578125" style="109" customWidth="1"/>
    <col min="265" max="265" width="24.28515625" style="109" customWidth="1"/>
    <col min="266" max="266" width="29.85546875" style="109" customWidth="1"/>
    <col min="267" max="267" width="21.7109375" style="109" customWidth="1"/>
    <col min="268" max="512" width="11.42578125" style="109"/>
    <col min="513" max="513" width="36" style="109" customWidth="1"/>
    <col min="514" max="514" width="21" style="109" customWidth="1"/>
    <col min="515" max="516" width="20.42578125" style="109" customWidth="1"/>
    <col min="517" max="517" width="19.85546875" style="109" customWidth="1"/>
    <col min="518" max="518" width="19.42578125" style="109" customWidth="1"/>
    <col min="519" max="519" width="25.28515625" style="109" customWidth="1"/>
    <col min="520" max="520" width="23.42578125" style="109" customWidth="1"/>
    <col min="521" max="521" width="24.28515625" style="109" customWidth="1"/>
    <col min="522" max="522" width="29.85546875" style="109" customWidth="1"/>
    <col min="523" max="523" width="21.7109375" style="109" customWidth="1"/>
    <col min="524" max="768" width="11.42578125" style="109"/>
    <col min="769" max="769" width="36" style="109" customWidth="1"/>
    <col min="770" max="770" width="21" style="109" customWidth="1"/>
    <col min="771" max="772" width="20.42578125" style="109" customWidth="1"/>
    <col min="773" max="773" width="19.85546875" style="109" customWidth="1"/>
    <col min="774" max="774" width="19.42578125" style="109" customWidth="1"/>
    <col min="775" max="775" width="25.28515625" style="109" customWidth="1"/>
    <col min="776" max="776" width="23.42578125" style="109" customWidth="1"/>
    <col min="777" max="777" width="24.28515625" style="109" customWidth="1"/>
    <col min="778" max="778" width="29.85546875" style="109" customWidth="1"/>
    <col min="779" max="779" width="21.7109375" style="109" customWidth="1"/>
    <col min="780" max="1024" width="11.42578125" style="109"/>
    <col min="1025" max="1025" width="36" style="109" customWidth="1"/>
    <col min="1026" max="1026" width="21" style="109" customWidth="1"/>
    <col min="1027" max="1028" width="20.42578125" style="109" customWidth="1"/>
    <col min="1029" max="1029" width="19.85546875" style="109" customWidth="1"/>
    <col min="1030" max="1030" width="19.42578125" style="109" customWidth="1"/>
    <col min="1031" max="1031" width="25.28515625" style="109" customWidth="1"/>
    <col min="1032" max="1032" width="23.42578125" style="109" customWidth="1"/>
    <col min="1033" max="1033" width="24.28515625" style="109" customWidth="1"/>
    <col min="1034" max="1034" width="29.85546875" style="109" customWidth="1"/>
    <col min="1035" max="1035" width="21.7109375" style="109" customWidth="1"/>
    <col min="1036" max="1280" width="11.42578125" style="109"/>
    <col min="1281" max="1281" width="36" style="109" customWidth="1"/>
    <col min="1282" max="1282" width="21" style="109" customWidth="1"/>
    <col min="1283" max="1284" width="20.42578125" style="109" customWidth="1"/>
    <col min="1285" max="1285" width="19.85546875" style="109" customWidth="1"/>
    <col min="1286" max="1286" width="19.42578125" style="109" customWidth="1"/>
    <col min="1287" max="1287" width="25.28515625" style="109" customWidth="1"/>
    <col min="1288" max="1288" width="23.42578125" style="109" customWidth="1"/>
    <col min="1289" max="1289" width="24.28515625" style="109" customWidth="1"/>
    <col min="1290" max="1290" width="29.85546875" style="109" customWidth="1"/>
    <col min="1291" max="1291" width="21.7109375" style="109" customWidth="1"/>
    <col min="1292" max="1536" width="11.42578125" style="109"/>
    <col min="1537" max="1537" width="36" style="109" customWidth="1"/>
    <col min="1538" max="1538" width="21" style="109" customWidth="1"/>
    <col min="1539" max="1540" width="20.42578125" style="109" customWidth="1"/>
    <col min="1541" max="1541" width="19.85546875" style="109" customWidth="1"/>
    <col min="1542" max="1542" width="19.42578125" style="109" customWidth="1"/>
    <col min="1543" max="1543" width="25.28515625" style="109" customWidth="1"/>
    <col min="1544" max="1544" width="23.42578125" style="109" customWidth="1"/>
    <col min="1545" max="1545" width="24.28515625" style="109" customWidth="1"/>
    <col min="1546" max="1546" width="29.85546875" style="109" customWidth="1"/>
    <col min="1547" max="1547" width="21.7109375" style="109" customWidth="1"/>
    <col min="1548" max="1792" width="11.42578125" style="109"/>
    <col min="1793" max="1793" width="36" style="109" customWidth="1"/>
    <col min="1794" max="1794" width="21" style="109" customWidth="1"/>
    <col min="1795" max="1796" width="20.42578125" style="109" customWidth="1"/>
    <col min="1797" max="1797" width="19.85546875" style="109" customWidth="1"/>
    <col min="1798" max="1798" width="19.42578125" style="109" customWidth="1"/>
    <col min="1799" max="1799" width="25.28515625" style="109" customWidth="1"/>
    <col min="1800" max="1800" width="23.42578125" style="109" customWidth="1"/>
    <col min="1801" max="1801" width="24.28515625" style="109" customWidth="1"/>
    <col min="1802" max="1802" width="29.85546875" style="109" customWidth="1"/>
    <col min="1803" max="1803" width="21.7109375" style="109" customWidth="1"/>
    <col min="1804" max="2048" width="11.42578125" style="109"/>
    <col min="2049" max="2049" width="36" style="109" customWidth="1"/>
    <col min="2050" max="2050" width="21" style="109" customWidth="1"/>
    <col min="2051" max="2052" width="20.42578125" style="109" customWidth="1"/>
    <col min="2053" max="2053" width="19.85546875" style="109" customWidth="1"/>
    <col min="2054" max="2054" width="19.42578125" style="109" customWidth="1"/>
    <col min="2055" max="2055" width="25.28515625" style="109" customWidth="1"/>
    <col min="2056" max="2056" width="23.42578125" style="109" customWidth="1"/>
    <col min="2057" max="2057" width="24.28515625" style="109" customWidth="1"/>
    <col min="2058" max="2058" width="29.85546875" style="109" customWidth="1"/>
    <col min="2059" max="2059" width="21.7109375" style="109" customWidth="1"/>
    <col min="2060" max="2304" width="11.42578125" style="109"/>
    <col min="2305" max="2305" width="36" style="109" customWidth="1"/>
    <col min="2306" max="2306" width="21" style="109" customWidth="1"/>
    <col min="2307" max="2308" width="20.42578125" style="109" customWidth="1"/>
    <col min="2309" max="2309" width="19.85546875" style="109" customWidth="1"/>
    <col min="2310" max="2310" width="19.42578125" style="109" customWidth="1"/>
    <col min="2311" max="2311" width="25.28515625" style="109" customWidth="1"/>
    <col min="2312" max="2312" width="23.42578125" style="109" customWidth="1"/>
    <col min="2313" max="2313" width="24.28515625" style="109" customWidth="1"/>
    <col min="2314" max="2314" width="29.85546875" style="109" customWidth="1"/>
    <col min="2315" max="2315" width="21.7109375" style="109" customWidth="1"/>
    <col min="2316" max="2560" width="11.42578125" style="109"/>
    <col min="2561" max="2561" width="36" style="109" customWidth="1"/>
    <col min="2562" max="2562" width="21" style="109" customWidth="1"/>
    <col min="2563" max="2564" width="20.42578125" style="109" customWidth="1"/>
    <col min="2565" max="2565" width="19.85546875" style="109" customWidth="1"/>
    <col min="2566" max="2566" width="19.42578125" style="109" customWidth="1"/>
    <col min="2567" max="2567" width="25.28515625" style="109" customWidth="1"/>
    <col min="2568" max="2568" width="23.42578125" style="109" customWidth="1"/>
    <col min="2569" max="2569" width="24.28515625" style="109" customWidth="1"/>
    <col min="2570" max="2570" width="29.85546875" style="109" customWidth="1"/>
    <col min="2571" max="2571" width="21.7109375" style="109" customWidth="1"/>
    <col min="2572" max="2816" width="11.42578125" style="109"/>
    <col min="2817" max="2817" width="36" style="109" customWidth="1"/>
    <col min="2818" max="2818" width="21" style="109" customWidth="1"/>
    <col min="2819" max="2820" width="20.42578125" style="109" customWidth="1"/>
    <col min="2821" max="2821" width="19.85546875" style="109" customWidth="1"/>
    <col min="2822" max="2822" width="19.42578125" style="109" customWidth="1"/>
    <col min="2823" max="2823" width="25.28515625" style="109" customWidth="1"/>
    <col min="2824" max="2824" width="23.42578125" style="109" customWidth="1"/>
    <col min="2825" max="2825" width="24.28515625" style="109" customWidth="1"/>
    <col min="2826" max="2826" width="29.85546875" style="109" customWidth="1"/>
    <col min="2827" max="2827" width="21.7109375" style="109" customWidth="1"/>
    <col min="2828" max="3072" width="11.42578125" style="109"/>
    <col min="3073" max="3073" width="36" style="109" customWidth="1"/>
    <col min="3074" max="3074" width="21" style="109" customWidth="1"/>
    <col min="3075" max="3076" width="20.42578125" style="109" customWidth="1"/>
    <col min="3077" max="3077" width="19.85546875" style="109" customWidth="1"/>
    <col min="3078" max="3078" width="19.42578125" style="109" customWidth="1"/>
    <col min="3079" max="3079" width="25.28515625" style="109" customWidth="1"/>
    <col min="3080" max="3080" width="23.42578125" style="109" customWidth="1"/>
    <col min="3081" max="3081" width="24.28515625" style="109" customWidth="1"/>
    <col min="3082" max="3082" width="29.85546875" style="109" customWidth="1"/>
    <col min="3083" max="3083" width="21.7109375" style="109" customWidth="1"/>
    <col min="3084" max="3328" width="11.42578125" style="109"/>
    <col min="3329" max="3329" width="36" style="109" customWidth="1"/>
    <col min="3330" max="3330" width="21" style="109" customWidth="1"/>
    <col min="3331" max="3332" width="20.42578125" style="109" customWidth="1"/>
    <col min="3333" max="3333" width="19.85546875" style="109" customWidth="1"/>
    <col min="3334" max="3334" width="19.42578125" style="109" customWidth="1"/>
    <col min="3335" max="3335" width="25.28515625" style="109" customWidth="1"/>
    <col min="3336" max="3336" width="23.42578125" style="109" customWidth="1"/>
    <col min="3337" max="3337" width="24.28515625" style="109" customWidth="1"/>
    <col min="3338" max="3338" width="29.85546875" style="109" customWidth="1"/>
    <col min="3339" max="3339" width="21.7109375" style="109" customWidth="1"/>
    <col min="3340" max="3584" width="11.42578125" style="109"/>
    <col min="3585" max="3585" width="36" style="109" customWidth="1"/>
    <col min="3586" max="3586" width="21" style="109" customWidth="1"/>
    <col min="3587" max="3588" width="20.42578125" style="109" customWidth="1"/>
    <col min="3589" max="3589" width="19.85546875" style="109" customWidth="1"/>
    <col min="3590" max="3590" width="19.42578125" style="109" customWidth="1"/>
    <col min="3591" max="3591" width="25.28515625" style="109" customWidth="1"/>
    <col min="3592" max="3592" width="23.42578125" style="109" customWidth="1"/>
    <col min="3593" max="3593" width="24.28515625" style="109" customWidth="1"/>
    <col min="3594" max="3594" width="29.85546875" style="109" customWidth="1"/>
    <col min="3595" max="3595" width="21.7109375" style="109" customWidth="1"/>
    <col min="3596" max="3840" width="11.42578125" style="109"/>
    <col min="3841" max="3841" width="36" style="109" customWidth="1"/>
    <col min="3842" max="3842" width="21" style="109" customWidth="1"/>
    <col min="3843" max="3844" width="20.42578125" style="109" customWidth="1"/>
    <col min="3845" max="3845" width="19.85546875" style="109" customWidth="1"/>
    <col min="3846" max="3846" width="19.42578125" style="109" customWidth="1"/>
    <col min="3847" max="3847" width="25.28515625" style="109" customWidth="1"/>
    <col min="3848" max="3848" width="23.42578125" style="109" customWidth="1"/>
    <col min="3849" max="3849" width="24.28515625" style="109" customWidth="1"/>
    <col min="3850" max="3850" width="29.85546875" style="109" customWidth="1"/>
    <col min="3851" max="3851" width="21.7109375" style="109" customWidth="1"/>
    <col min="3852" max="4096" width="11.42578125" style="109"/>
    <col min="4097" max="4097" width="36" style="109" customWidth="1"/>
    <col min="4098" max="4098" width="21" style="109" customWidth="1"/>
    <col min="4099" max="4100" width="20.42578125" style="109" customWidth="1"/>
    <col min="4101" max="4101" width="19.85546875" style="109" customWidth="1"/>
    <col min="4102" max="4102" width="19.42578125" style="109" customWidth="1"/>
    <col min="4103" max="4103" width="25.28515625" style="109" customWidth="1"/>
    <col min="4104" max="4104" width="23.42578125" style="109" customWidth="1"/>
    <col min="4105" max="4105" width="24.28515625" style="109" customWidth="1"/>
    <col min="4106" max="4106" width="29.85546875" style="109" customWidth="1"/>
    <col min="4107" max="4107" width="21.7109375" style="109" customWidth="1"/>
    <col min="4108" max="4352" width="11.42578125" style="109"/>
    <col min="4353" max="4353" width="36" style="109" customWidth="1"/>
    <col min="4354" max="4354" width="21" style="109" customWidth="1"/>
    <col min="4355" max="4356" width="20.42578125" style="109" customWidth="1"/>
    <col min="4357" max="4357" width="19.85546875" style="109" customWidth="1"/>
    <col min="4358" max="4358" width="19.42578125" style="109" customWidth="1"/>
    <col min="4359" max="4359" width="25.28515625" style="109" customWidth="1"/>
    <col min="4360" max="4360" width="23.42578125" style="109" customWidth="1"/>
    <col min="4361" max="4361" width="24.28515625" style="109" customWidth="1"/>
    <col min="4362" max="4362" width="29.85546875" style="109" customWidth="1"/>
    <col min="4363" max="4363" width="21.7109375" style="109" customWidth="1"/>
    <col min="4364" max="4608" width="11.42578125" style="109"/>
    <col min="4609" max="4609" width="36" style="109" customWidth="1"/>
    <col min="4610" max="4610" width="21" style="109" customWidth="1"/>
    <col min="4611" max="4612" width="20.42578125" style="109" customWidth="1"/>
    <col min="4613" max="4613" width="19.85546875" style="109" customWidth="1"/>
    <col min="4614" max="4614" width="19.42578125" style="109" customWidth="1"/>
    <col min="4615" max="4615" width="25.28515625" style="109" customWidth="1"/>
    <col min="4616" max="4616" width="23.42578125" style="109" customWidth="1"/>
    <col min="4617" max="4617" width="24.28515625" style="109" customWidth="1"/>
    <col min="4618" max="4618" width="29.85546875" style="109" customWidth="1"/>
    <col min="4619" max="4619" width="21.7109375" style="109" customWidth="1"/>
    <col min="4620" max="4864" width="11.42578125" style="109"/>
    <col min="4865" max="4865" width="36" style="109" customWidth="1"/>
    <col min="4866" max="4866" width="21" style="109" customWidth="1"/>
    <col min="4867" max="4868" width="20.42578125" style="109" customWidth="1"/>
    <col min="4869" max="4869" width="19.85546875" style="109" customWidth="1"/>
    <col min="4870" max="4870" width="19.42578125" style="109" customWidth="1"/>
    <col min="4871" max="4871" width="25.28515625" style="109" customWidth="1"/>
    <col min="4872" max="4872" width="23.42578125" style="109" customWidth="1"/>
    <col min="4873" max="4873" width="24.28515625" style="109" customWidth="1"/>
    <col min="4874" max="4874" width="29.85546875" style="109" customWidth="1"/>
    <col min="4875" max="4875" width="21.7109375" style="109" customWidth="1"/>
    <col min="4876" max="5120" width="11.42578125" style="109"/>
    <col min="5121" max="5121" width="36" style="109" customWidth="1"/>
    <col min="5122" max="5122" width="21" style="109" customWidth="1"/>
    <col min="5123" max="5124" width="20.42578125" style="109" customWidth="1"/>
    <col min="5125" max="5125" width="19.85546875" style="109" customWidth="1"/>
    <col min="5126" max="5126" width="19.42578125" style="109" customWidth="1"/>
    <col min="5127" max="5127" width="25.28515625" style="109" customWidth="1"/>
    <col min="5128" max="5128" width="23.42578125" style="109" customWidth="1"/>
    <col min="5129" max="5129" width="24.28515625" style="109" customWidth="1"/>
    <col min="5130" max="5130" width="29.85546875" style="109" customWidth="1"/>
    <col min="5131" max="5131" width="21.7109375" style="109" customWidth="1"/>
    <col min="5132" max="5376" width="11.42578125" style="109"/>
    <col min="5377" max="5377" width="36" style="109" customWidth="1"/>
    <col min="5378" max="5378" width="21" style="109" customWidth="1"/>
    <col min="5379" max="5380" width="20.42578125" style="109" customWidth="1"/>
    <col min="5381" max="5381" width="19.85546875" style="109" customWidth="1"/>
    <col min="5382" max="5382" width="19.42578125" style="109" customWidth="1"/>
    <col min="5383" max="5383" width="25.28515625" style="109" customWidth="1"/>
    <col min="5384" max="5384" width="23.42578125" style="109" customWidth="1"/>
    <col min="5385" max="5385" width="24.28515625" style="109" customWidth="1"/>
    <col min="5386" max="5386" width="29.85546875" style="109" customWidth="1"/>
    <col min="5387" max="5387" width="21.7109375" style="109" customWidth="1"/>
    <col min="5388" max="5632" width="11.42578125" style="109"/>
    <col min="5633" max="5633" width="36" style="109" customWidth="1"/>
    <col min="5634" max="5634" width="21" style="109" customWidth="1"/>
    <col min="5635" max="5636" width="20.42578125" style="109" customWidth="1"/>
    <col min="5637" max="5637" width="19.85546875" style="109" customWidth="1"/>
    <col min="5638" max="5638" width="19.42578125" style="109" customWidth="1"/>
    <col min="5639" max="5639" width="25.28515625" style="109" customWidth="1"/>
    <col min="5640" max="5640" width="23.42578125" style="109" customWidth="1"/>
    <col min="5641" max="5641" width="24.28515625" style="109" customWidth="1"/>
    <col min="5642" max="5642" width="29.85546875" style="109" customWidth="1"/>
    <col min="5643" max="5643" width="21.7109375" style="109" customWidth="1"/>
    <col min="5644" max="5888" width="11.42578125" style="109"/>
    <col min="5889" max="5889" width="36" style="109" customWidth="1"/>
    <col min="5890" max="5890" width="21" style="109" customWidth="1"/>
    <col min="5891" max="5892" width="20.42578125" style="109" customWidth="1"/>
    <col min="5893" max="5893" width="19.85546875" style="109" customWidth="1"/>
    <col min="5894" max="5894" width="19.42578125" style="109" customWidth="1"/>
    <col min="5895" max="5895" width="25.28515625" style="109" customWidth="1"/>
    <col min="5896" max="5896" width="23.42578125" style="109" customWidth="1"/>
    <col min="5897" max="5897" width="24.28515625" style="109" customWidth="1"/>
    <col min="5898" max="5898" width="29.85546875" style="109" customWidth="1"/>
    <col min="5899" max="5899" width="21.7109375" style="109" customWidth="1"/>
    <col min="5900" max="6144" width="11.42578125" style="109"/>
    <col min="6145" max="6145" width="36" style="109" customWidth="1"/>
    <col min="6146" max="6146" width="21" style="109" customWidth="1"/>
    <col min="6147" max="6148" width="20.42578125" style="109" customWidth="1"/>
    <col min="6149" max="6149" width="19.85546875" style="109" customWidth="1"/>
    <col min="6150" max="6150" width="19.42578125" style="109" customWidth="1"/>
    <col min="6151" max="6151" width="25.28515625" style="109" customWidth="1"/>
    <col min="6152" max="6152" width="23.42578125" style="109" customWidth="1"/>
    <col min="6153" max="6153" width="24.28515625" style="109" customWidth="1"/>
    <col min="6154" max="6154" width="29.85546875" style="109" customWidth="1"/>
    <col min="6155" max="6155" width="21.7109375" style="109" customWidth="1"/>
    <col min="6156" max="6400" width="11.42578125" style="109"/>
    <col min="6401" max="6401" width="36" style="109" customWidth="1"/>
    <col min="6402" max="6402" width="21" style="109" customWidth="1"/>
    <col min="6403" max="6404" width="20.42578125" style="109" customWidth="1"/>
    <col min="6405" max="6405" width="19.85546875" style="109" customWidth="1"/>
    <col min="6406" max="6406" width="19.42578125" style="109" customWidth="1"/>
    <col min="6407" max="6407" width="25.28515625" style="109" customWidth="1"/>
    <col min="6408" max="6408" width="23.42578125" style="109" customWidth="1"/>
    <col min="6409" max="6409" width="24.28515625" style="109" customWidth="1"/>
    <col min="6410" max="6410" width="29.85546875" style="109" customWidth="1"/>
    <col min="6411" max="6411" width="21.7109375" style="109" customWidth="1"/>
    <col min="6412" max="6656" width="11.42578125" style="109"/>
    <col min="6657" max="6657" width="36" style="109" customWidth="1"/>
    <col min="6658" max="6658" width="21" style="109" customWidth="1"/>
    <col min="6659" max="6660" width="20.42578125" style="109" customWidth="1"/>
    <col min="6661" max="6661" width="19.85546875" style="109" customWidth="1"/>
    <col min="6662" max="6662" width="19.42578125" style="109" customWidth="1"/>
    <col min="6663" max="6663" width="25.28515625" style="109" customWidth="1"/>
    <col min="6664" max="6664" width="23.42578125" style="109" customWidth="1"/>
    <col min="6665" max="6665" width="24.28515625" style="109" customWidth="1"/>
    <col min="6666" max="6666" width="29.85546875" style="109" customWidth="1"/>
    <col min="6667" max="6667" width="21.7109375" style="109" customWidth="1"/>
    <col min="6668" max="6912" width="11.42578125" style="109"/>
    <col min="6913" max="6913" width="36" style="109" customWidth="1"/>
    <col min="6914" max="6914" width="21" style="109" customWidth="1"/>
    <col min="6915" max="6916" width="20.42578125" style="109" customWidth="1"/>
    <col min="6917" max="6917" width="19.85546875" style="109" customWidth="1"/>
    <col min="6918" max="6918" width="19.42578125" style="109" customWidth="1"/>
    <col min="6919" max="6919" width="25.28515625" style="109" customWidth="1"/>
    <col min="6920" max="6920" width="23.42578125" style="109" customWidth="1"/>
    <col min="6921" max="6921" width="24.28515625" style="109" customWidth="1"/>
    <col min="6922" max="6922" width="29.85546875" style="109" customWidth="1"/>
    <col min="6923" max="6923" width="21.7109375" style="109" customWidth="1"/>
    <col min="6924" max="7168" width="11.42578125" style="109"/>
    <col min="7169" max="7169" width="36" style="109" customWidth="1"/>
    <col min="7170" max="7170" width="21" style="109" customWidth="1"/>
    <col min="7171" max="7172" width="20.42578125" style="109" customWidth="1"/>
    <col min="7173" max="7173" width="19.85546875" style="109" customWidth="1"/>
    <col min="7174" max="7174" width="19.42578125" style="109" customWidth="1"/>
    <col min="7175" max="7175" width="25.28515625" style="109" customWidth="1"/>
    <col min="7176" max="7176" width="23.42578125" style="109" customWidth="1"/>
    <col min="7177" max="7177" width="24.28515625" style="109" customWidth="1"/>
    <col min="7178" max="7178" width="29.85546875" style="109" customWidth="1"/>
    <col min="7179" max="7179" width="21.7109375" style="109" customWidth="1"/>
    <col min="7180" max="7424" width="11.42578125" style="109"/>
    <col min="7425" max="7425" width="36" style="109" customWidth="1"/>
    <col min="7426" max="7426" width="21" style="109" customWidth="1"/>
    <col min="7427" max="7428" width="20.42578125" style="109" customWidth="1"/>
    <col min="7429" max="7429" width="19.85546875" style="109" customWidth="1"/>
    <col min="7430" max="7430" width="19.42578125" style="109" customWidth="1"/>
    <col min="7431" max="7431" width="25.28515625" style="109" customWidth="1"/>
    <col min="7432" max="7432" width="23.42578125" style="109" customWidth="1"/>
    <col min="7433" max="7433" width="24.28515625" style="109" customWidth="1"/>
    <col min="7434" max="7434" width="29.85546875" style="109" customWidth="1"/>
    <col min="7435" max="7435" width="21.7109375" style="109" customWidth="1"/>
    <col min="7436" max="7680" width="11.42578125" style="109"/>
    <col min="7681" max="7681" width="36" style="109" customWidth="1"/>
    <col min="7682" max="7682" width="21" style="109" customWidth="1"/>
    <col min="7683" max="7684" width="20.42578125" style="109" customWidth="1"/>
    <col min="7685" max="7685" width="19.85546875" style="109" customWidth="1"/>
    <col min="7686" max="7686" width="19.42578125" style="109" customWidth="1"/>
    <col min="7687" max="7687" width="25.28515625" style="109" customWidth="1"/>
    <col min="7688" max="7688" width="23.42578125" style="109" customWidth="1"/>
    <col min="7689" max="7689" width="24.28515625" style="109" customWidth="1"/>
    <col min="7690" max="7690" width="29.85546875" style="109" customWidth="1"/>
    <col min="7691" max="7691" width="21.7109375" style="109" customWidth="1"/>
    <col min="7692" max="7936" width="11.42578125" style="109"/>
    <col min="7937" max="7937" width="36" style="109" customWidth="1"/>
    <col min="7938" max="7938" width="21" style="109" customWidth="1"/>
    <col min="7939" max="7940" width="20.42578125" style="109" customWidth="1"/>
    <col min="7941" max="7941" width="19.85546875" style="109" customWidth="1"/>
    <col min="7942" max="7942" width="19.42578125" style="109" customWidth="1"/>
    <col min="7943" max="7943" width="25.28515625" style="109" customWidth="1"/>
    <col min="7944" max="7944" width="23.42578125" style="109" customWidth="1"/>
    <col min="7945" max="7945" width="24.28515625" style="109" customWidth="1"/>
    <col min="7946" max="7946" width="29.85546875" style="109" customWidth="1"/>
    <col min="7947" max="7947" width="21.7109375" style="109" customWidth="1"/>
    <col min="7948" max="8192" width="11.42578125" style="109"/>
    <col min="8193" max="8193" width="36" style="109" customWidth="1"/>
    <col min="8194" max="8194" width="21" style="109" customWidth="1"/>
    <col min="8195" max="8196" width="20.42578125" style="109" customWidth="1"/>
    <col min="8197" max="8197" width="19.85546875" style="109" customWidth="1"/>
    <col min="8198" max="8198" width="19.42578125" style="109" customWidth="1"/>
    <col min="8199" max="8199" width="25.28515625" style="109" customWidth="1"/>
    <col min="8200" max="8200" width="23.42578125" style="109" customWidth="1"/>
    <col min="8201" max="8201" width="24.28515625" style="109" customWidth="1"/>
    <col min="8202" max="8202" width="29.85546875" style="109" customWidth="1"/>
    <col min="8203" max="8203" width="21.7109375" style="109" customWidth="1"/>
    <col min="8204" max="8448" width="11.42578125" style="109"/>
    <col min="8449" max="8449" width="36" style="109" customWidth="1"/>
    <col min="8450" max="8450" width="21" style="109" customWidth="1"/>
    <col min="8451" max="8452" width="20.42578125" style="109" customWidth="1"/>
    <col min="8453" max="8453" width="19.85546875" style="109" customWidth="1"/>
    <col min="8454" max="8454" width="19.42578125" style="109" customWidth="1"/>
    <col min="8455" max="8455" width="25.28515625" style="109" customWidth="1"/>
    <col min="8456" max="8456" width="23.42578125" style="109" customWidth="1"/>
    <col min="8457" max="8457" width="24.28515625" style="109" customWidth="1"/>
    <col min="8458" max="8458" width="29.85546875" style="109" customWidth="1"/>
    <col min="8459" max="8459" width="21.7109375" style="109" customWidth="1"/>
    <col min="8460" max="8704" width="11.42578125" style="109"/>
    <col min="8705" max="8705" width="36" style="109" customWidth="1"/>
    <col min="8706" max="8706" width="21" style="109" customWidth="1"/>
    <col min="8707" max="8708" width="20.42578125" style="109" customWidth="1"/>
    <col min="8709" max="8709" width="19.85546875" style="109" customWidth="1"/>
    <col min="8710" max="8710" width="19.42578125" style="109" customWidth="1"/>
    <col min="8711" max="8711" width="25.28515625" style="109" customWidth="1"/>
    <col min="8712" max="8712" width="23.42578125" style="109" customWidth="1"/>
    <col min="8713" max="8713" width="24.28515625" style="109" customWidth="1"/>
    <col min="8714" max="8714" width="29.85546875" style="109" customWidth="1"/>
    <col min="8715" max="8715" width="21.7109375" style="109" customWidth="1"/>
    <col min="8716" max="8960" width="11.42578125" style="109"/>
    <col min="8961" max="8961" width="36" style="109" customWidth="1"/>
    <col min="8962" max="8962" width="21" style="109" customWidth="1"/>
    <col min="8963" max="8964" width="20.42578125" style="109" customWidth="1"/>
    <col min="8965" max="8965" width="19.85546875" style="109" customWidth="1"/>
    <col min="8966" max="8966" width="19.42578125" style="109" customWidth="1"/>
    <col min="8967" max="8967" width="25.28515625" style="109" customWidth="1"/>
    <col min="8968" max="8968" width="23.42578125" style="109" customWidth="1"/>
    <col min="8969" max="8969" width="24.28515625" style="109" customWidth="1"/>
    <col min="8970" max="8970" width="29.85546875" style="109" customWidth="1"/>
    <col min="8971" max="8971" width="21.7109375" style="109" customWidth="1"/>
    <col min="8972" max="9216" width="11.42578125" style="109"/>
    <col min="9217" max="9217" width="36" style="109" customWidth="1"/>
    <col min="9218" max="9218" width="21" style="109" customWidth="1"/>
    <col min="9219" max="9220" width="20.42578125" style="109" customWidth="1"/>
    <col min="9221" max="9221" width="19.85546875" style="109" customWidth="1"/>
    <col min="9222" max="9222" width="19.42578125" style="109" customWidth="1"/>
    <col min="9223" max="9223" width="25.28515625" style="109" customWidth="1"/>
    <col min="9224" max="9224" width="23.42578125" style="109" customWidth="1"/>
    <col min="9225" max="9225" width="24.28515625" style="109" customWidth="1"/>
    <col min="9226" max="9226" width="29.85546875" style="109" customWidth="1"/>
    <col min="9227" max="9227" width="21.7109375" style="109" customWidth="1"/>
    <col min="9228" max="9472" width="11.42578125" style="109"/>
    <col min="9473" max="9473" width="36" style="109" customWidth="1"/>
    <col min="9474" max="9474" width="21" style="109" customWidth="1"/>
    <col min="9475" max="9476" width="20.42578125" style="109" customWidth="1"/>
    <col min="9477" max="9477" width="19.85546875" style="109" customWidth="1"/>
    <col min="9478" max="9478" width="19.42578125" style="109" customWidth="1"/>
    <col min="9479" max="9479" width="25.28515625" style="109" customWidth="1"/>
    <col min="9480" max="9480" width="23.42578125" style="109" customWidth="1"/>
    <col min="9481" max="9481" width="24.28515625" style="109" customWidth="1"/>
    <col min="9482" max="9482" width="29.85546875" style="109" customWidth="1"/>
    <col min="9483" max="9483" width="21.7109375" style="109" customWidth="1"/>
    <col min="9484" max="9728" width="11.42578125" style="109"/>
    <col min="9729" max="9729" width="36" style="109" customWidth="1"/>
    <col min="9730" max="9730" width="21" style="109" customWidth="1"/>
    <col min="9731" max="9732" width="20.42578125" style="109" customWidth="1"/>
    <col min="9733" max="9733" width="19.85546875" style="109" customWidth="1"/>
    <col min="9734" max="9734" width="19.42578125" style="109" customWidth="1"/>
    <col min="9735" max="9735" width="25.28515625" style="109" customWidth="1"/>
    <col min="9736" max="9736" width="23.42578125" style="109" customWidth="1"/>
    <col min="9737" max="9737" width="24.28515625" style="109" customWidth="1"/>
    <col min="9738" max="9738" width="29.85546875" style="109" customWidth="1"/>
    <col min="9739" max="9739" width="21.7109375" style="109" customWidth="1"/>
    <col min="9740" max="9984" width="11.42578125" style="109"/>
    <col min="9985" max="9985" width="36" style="109" customWidth="1"/>
    <col min="9986" max="9986" width="21" style="109" customWidth="1"/>
    <col min="9987" max="9988" width="20.42578125" style="109" customWidth="1"/>
    <col min="9989" max="9989" width="19.85546875" style="109" customWidth="1"/>
    <col min="9990" max="9990" width="19.42578125" style="109" customWidth="1"/>
    <col min="9991" max="9991" width="25.28515625" style="109" customWidth="1"/>
    <col min="9992" max="9992" width="23.42578125" style="109" customWidth="1"/>
    <col min="9993" max="9993" width="24.28515625" style="109" customWidth="1"/>
    <col min="9994" max="9994" width="29.85546875" style="109" customWidth="1"/>
    <col min="9995" max="9995" width="21.7109375" style="109" customWidth="1"/>
    <col min="9996" max="10240" width="11.42578125" style="109"/>
    <col min="10241" max="10241" width="36" style="109" customWidth="1"/>
    <col min="10242" max="10242" width="21" style="109" customWidth="1"/>
    <col min="10243" max="10244" width="20.42578125" style="109" customWidth="1"/>
    <col min="10245" max="10245" width="19.85546875" style="109" customWidth="1"/>
    <col min="10246" max="10246" width="19.42578125" style="109" customWidth="1"/>
    <col min="10247" max="10247" width="25.28515625" style="109" customWidth="1"/>
    <col min="10248" max="10248" width="23.42578125" style="109" customWidth="1"/>
    <col min="10249" max="10249" width="24.28515625" style="109" customWidth="1"/>
    <col min="10250" max="10250" width="29.85546875" style="109" customWidth="1"/>
    <col min="10251" max="10251" width="21.7109375" style="109" customWidth="1"/>
    <col min="10252" max="10496" width="11.42578125" style="109"/>
    <col min="10497" max="10497" width="36" style="109" customWidth="1"/>
    <col min="10498" max="10498" width="21" style="109" customWidth="1"/>
    <col min="10499" max="10500" width="20.42578125" style="109" customWidth="1"/>
    <col min="10501" max="10501" width="19.85546875" style="109" customWidth="1"/>
    <col min="10502" max="10502" width="19.42578125" style="109" customWidth="1"/>
    <col min="10503" max="10503" width="25.28515625" style="109" customWidth="1"/>
    <col min="10504" max="10504" width="23.42578125" style="109" customWidth="1"/>
    <col min="10505" max="10505" width="24.28515625" style="109" customWidth="1"/>
    <col min="10506" max="10506" width="29.85546875" style="109" customWidth="1"/>
    <col min="10507" max="10507" width="21.7109375" style="109" customWidth="1"/>
    <col min="10508" max="10752" width="11.42578125" style="109"/>
    <col min="10753" max="10753" width="36" style="109" customWidth="1"/>
    <col min="10754" max="10754" width="21" style="109" customWidth="1"/>
    <col min="10755" max="10756" width="20.42578125" style="109" customWidth="1"/>
    <col min="10757" max="10757" width="19.85546875" style="109" customWidth="1"/>
    <col min="10758" max="10758" width="19.42578125" style="109" customWidth="1"/>
    <col min="10759" max="10759" width="25.28515625" style="109" customWidth="1"/>
    <col min="10760" max="10760" width="23.42578125" style="109" customWidth="1"/>
    <col min="10761" max="10761" width="24.28515625" style="109" customWidth="1"/>
    <col min="10762" max="10762" width="29.85546875" style="109" customWidth="1"/>
    <col min="10763" max="10763" width="21.7109375" style="109" customWidth="1"/>
    <col min="10764" max="11008" width="11.42578125" style="109"/>
    <col min="11009" max="11009" width="36" style="109" customWidth="1"/>
    <col min="11010" max="11010" width="21" style="109" customWidth="1"/>
    <col min="11011" max="11012" width="20.42578125" style="109" customWidth="1"/>
    <col min="11013" max="11013" width="19.85546875" style="109" customWidth="1"/>
    <col min="11014" max="11014" width="19.42578125" style="109" customWidth="1"/>
    <col min="11015" max="11015" width="25.28515625" style="109" customWidth="1"/>
    <col min="11016" max="11016" width="23.42578125" style="109" customWidth="1"/>
    <col min="11017" max="11017" width="24.28515625" style="109" customWidth="1"/>
    <col min="11018" max="11018" width="29.85546875" style="109" customWidth="1"/>
    <col min="11019" max="11019" width="21.7109375" style="109" customWidth="1"/>
    <col min="11020" max="11264" width="11.42578125" style="109"/>
    <col min="11265" max="11265" width="36" style="109" customWidth="1"/>
    <col min="11266" max="11266" width="21" style="109" customWidth="1"/>
    <col min="11267" max="11268" width="20.42578125" style="109" customWidth="1"/>
    <col min="11269" max="11269" width="19.85546875" style="109" customWidth="1"/>
    <col min="11270" max="11270" width="19.42578125" style="109" customWidth="1"/>
    <col min="11271" max="11271" width="25.28515625" style="109" customWidth="1"/>
    <col min="11272" max="11272" width="23.42578125" style="109" customWidth="1"/>
    <col min="11273" max="11273" width="24.28515625" style="109" customWidth="1"/>
    <col min="11274" max="11274" width="29.85546875" style="109" customWidth="1"/>
    <col min="11275" max="11275" width="21.7109375" style="109" customWidth="1"/>
    <col min="11276" max="11520" width="11.42578125" style="109"/>
    <col min="11521" max="11521" width="36" style="109" customWidth="1"/>
    <col min="11522" max="11522" width="21" style="109" customWidth="1"/>
    <col min="11523" max="11524" width="20.42578125" style="109" customWidth="1"/>
    <col min="11525" max="11525" width="19.85546875" style="109" customWidth="1"/>
    <col min="11526" max="11526" width="19.42578125" style="109" customWidth="1"/>
    <col min="11527" max="11527" width="25.28515625" style="109" customWidth="1"/>
    <col min="11528" max="11528" width="23.42578125" style="109" customWidth="1"/>
    <col min="11529" max="11529" width="24.28515625" style="109" customWidth="1"/>
    <col min="11530" max="11530" width="29.85546875" style="109" customWidth="1"/>
    <col min="11531" max="11531" width="21.7109375" style="109" customWidth="1"/>
    <col min="11532" max="11776" width="11.42578125" style="109"/>
    <col min="11777" max="11777" width="36" style="109" customWidth="1"/>
    <col min="11778" max="11778" width="21" style="109" customWidth="1"/>
    <col min="11779" max="11780" width="20.42578125" style="109" customWidth="1"/>
    <col min="11781" max="11781" width="19.85546875" style="109" customWidth="1"/>
    <col min="11782" max="11782" width="19.42578125" style="109" customWidth="1"/>
    <col min="11783" max="11783" width="25.28515625" style="109" customWidth="1"/>
    <col min="11784" max="11784" width="23.42578125" style="109" customWidth="1"/>
    <col min="11785" max="11785" width="24.28515625" style="109" customWidth="1"/>
    <col min="11786" max="11786" width="29.85546875" style="109" customWidth="1"/>
    <col min="11787" max="11787" width="21.7109375" style="109" customWidth="1"/>
    <col min="11788" max="12032" width="11.42578125" style="109"/>
    <col min="12033" max="12033" width="36" style="109" customWidth="1"/>
    <col min="12034" max="12034" width="21" style="109" customWidth="1"/>
    <col min="12035" max="12036" width="20.42578125" style="109" customWidth="1"/>
    <col min="12037" max="12037" width="19.85546875" style="109" customWidth="1"/>
    <col min="12038" max="12038" width="19.42578125" style="109" customWidth="1"/>
    <col min="12039" max="12039" width="25.28515625" style="109" customWidth="1"/>
    <col min="12040" max="12040" width="23.42578125" style="109" customWidth="1"/>
    <col min="12041" max="12041" width="24.28515625" style="109" customWidth="1"/>
    <col min="12042" max="12042" width="29.85546875" style="109" customWidth="1"/>
    <col min="12043" max="12043" width="21.7109375" style="109" customWidth="1"/>
    <col min="12044" max="12288" width="11.42578125" style="109"/>
    <col min="12289" max="12289" width="36" style="109" customWidth="1"/>
    <col min="12290" max="12290" width="21" style="109" customWidth="1"/>
    <col min="12291" max="12292" width="20.42578125" style="109" customWidth="1"/>
    <col min="12293" max="12293" width="19.85546875" style="109" customWidth="1"/>
    <col min="12294" max="12294" width="19.42578125" style="109" customWidth="1"/>
    <col min="12295" max="12295" width="25.28515625" style="109" customWidth="1"/>
    <col min="12296" max="12296" width="23.42578125" style="109" customWidth="1"/>
    <col min="12297" max="12297" width="24.28515625" style="109" customWidth="1"/>
    <col min="12298" max="12298" width="29.85546875" style="109" customWidth="1"/>
    <col min="12299" max="12299" width="21.7109375" style="109" customWidth="1"/>
    <col min="12300" max="12544" width="11.42578125" style="109"/>
    <col min="12545" max="12545" width="36" style="109" customWidth="1"/>
    <col min="12546" max="12546" width="21" style="109" customWidth="1"/>
    <col min="12547" max="12548" width="20.42578125" style="109" customWidth="1"/>
    <col min="12549" max="12549" width="19.85546875" style="109" customWidth="1"/>
    <col min="12550" max="12550" width="19.42578125" style="109" customWidth="1"/>
    <col min="12551" max="12551" width="25.28515625" style="109" customWidth="1"/>
    <col min="12552" max="12552" width="23.42578125" style="109" customWidth="1"/>
    <col min="12553" max="12553" width="24.28515625" style="109" customWidth="1"/>
    <col min="12554" max="12554" width="29.85546875" style="109" customWidth="1"/>
    <col min="12555" max="12555" width="21.7109375" style="109" customWidth="1"/>
    <col min="12556" max="12800" width="11.42578125" style="109"/>
    <col min="12801" max="12801" width="36" style="109" customWidth="1"/>
    <col min="12802" max="12802" width="21" style="109" customWidth="1"/>
    <col min="12803" max="12804" width="20.42578125" style="109" customWidth="1"/>
    <col min="12805" max="12805" width="19.85546875" style="109" customWidth="1"/>
    <col min="12806" max="12806" width="19.42578125" style="109" customWidth="1"/>
    <col min="12807" max="12807" width="25.28515625" style="109" customWidth="1"/>
    <col min="12808" max="12808" width="23.42578125" style="109" customWidth="1"/>
    <col min="12809" max="12809" width="24.28515625" style="109" customWidth="1"/>
    <col min="12810" max="12810" width="29.85546875" style="109" customWidth="1"/>
    <col min="12811" max="12811" width="21.7109375" style="109" customWidth="1"/>
    <col min="12812" max="13056" width="11.42578125" style="109"/>
    <col min="13057" max="13057" width="36" style="109" customWidth="1"/>
    <col min="13058" max="13058" width="21" style="109" customWidth="1"/>
    <col min="13059" max="13060" width="20.42578125" style="109" customWidth="1"/>
    <col min="13061" max="13061" width="19.85546875" style="109" customWidth="1"/>
    <col min="13062" max="13062" width="19.42578125" style="109" customWidth="1"/>
    <col min="13063" max="13063" width="25.28515625" style="109" customWidth="1"/>
    <col min="13064" max="13064" width="23.42578125" style="109" customWidth="1"/>
    <col min="13065" max="13065" width="24.28515625" style="109" customWidth="1"/>
    <col min="13066" max="13066" width="29.85546875" style="109" customWidth="1"/>
    <col min="13067" max="13067" width="21.7109375" style="109" customWidth="1"/>
    <col min="13068" max="13312" width="11.42578125" style="109"/>
    <col min="13313" max="13313" width="36" style="109" customWidth="1"/>
    <col min="13314" max="13314" width="21" style="109" customWidth="1"/>
    <col min="13315" max="13316" width="20.42578125" style="109" customWidth="1"/>
    <col min="13317" max="13317" width="19.85546875" style="109" customWidth="1"/>
    <col min="13318" max="13318" width="19.42578125" style="109" customWidth="1"/>
    <col min="13319" max="13319" width="25.28515625" style="109" customWidth="1"/>
    <col min="13320" max="13320" width="23.42578125" style="109" customWidth="1"/>
    <col min="13321" max="13321" width="24.28515625" style="109" customWidth="1"/>
    <col min="13322" max="13322" width="29.85546875" style="109" customWidth="1"/>
    <col min="13323" max="13323" width="21.7109375" style="109" customWidth="1"/>
    <col min="13324" max="13568" width="11.42578125" style="109"/>
    <col min="13569" max="13569" width="36" style="109" customWidth="1"/>
    <col min="13570" max="13570" width="21" style="109" customWidth="1"/>
    <col min="13571" max="13572" width="20.42578125" style="109" customWidth="1"/>
    <col min="13573" max="13573" width="19.85546875" style="109" customWidth="1"/>
    <col min="13574" max="13574" width="19.42578125" style="109" customWidth="1"/>
    <col min="13575" max="13575" width="25.28515625" style="109" customWidth="1"/>
    <col min="13576" max="13576" width="23.42578125" style="109" customWidth="1"/>
    <col min="13577" max="13577" width="24.28515625" style="109" customWidth="1"/>
    <col min="13578" max="13578" width="29.85546875" style="109" customWidth="1"/>
    <col min="13579" max="13579" width="21.7109375" style="109" customWidth="1"/>
    <col min="13580" max="13824" width="11.42578125" style="109"/>
    <col min="13825" max="13825" width="36" style="109" customWidth="1"/>
    <col min="13826" max="13826" width="21" style="109" customWidth="1"/>
    <col min="13827" max="13828" width="20.42578125" style="109" customWidth="1"/>
    <col min="13829" max="13829" width="19.85546875" style="109" customWidth="1"/>
    <col min="13830" max="13830" width="19.42578125" style="109" customWidth="1"/>
    <col min="13831" max="13831" width="25.28515625" style="109" customWidth="1"/>
    <col min="13832" max="13832" width="23.42578125" style="109" customWidth="1"/>
    <col min="13833" max="13833" width="24.28515625" style="109" customWidth="1"/>
    <col min="13834" max="13834" width="29.85546875" style="109" customWidth="1"/>
    <col min="13835" max="13835" width="21.7109375" style="109" customWidth="1"/>
    <col min="13836" max="14080" width="11.42578125" style="109"/>
    <col min="14081" max="14081" width="36" style="109" customWidth="1"/>
    <col min="14082" max="14082" width="21" style="109" customWidth="1"/>
    <col min="14083" max="14084" width="20.42578125" style="109" customWidth="1"/>
    <col min="14085" max="14085" width="19.85546875" style="109" customWidth="1"/>
    <col min="14086" max="14086" width="19.42578125" style="109" customWidth="1"/>
    <col min="14087" max="14087" width="25.28515625" style="109" customWidth="1"/>
    <col min="14088" max="14088" width="23.42578125" style="109" customWidth="1"/>
    <col min="14089" max="14089" width="24.28515625" style="109" customWidth="1"/>
    <col min="14090" max="14090" width="29.85546875" style="109" customWidth="1"/>
    <col min="14091" max="14091" width="21.7109375" style="109" customWidth="1"/>
    <col min="14092" max="14336" width="11.42578125" style="109"/>
    <col min="14337" max="14337" width="36" style="109" customWidth="1"/>
    <col min="14338" max="14338" width="21" style="109" customWidth="1"/>
    <col min="14339" max="14340" width="20.42578125" style="109" customWidth="1"/>
    <col min="14341" max="14341" width="19.85546875" style="109" customWidth="1"/>
    <col min="14342" max="14342" width="19.42578125" style="109" customWidth="1"/>
    <col min="14343" max="14343" width="25.28515625" style="109" customWidth="1"/>
    <col min="14344" max="14344" width="23.42578125" style="109" customWidth="1"/>
    <col min="14345" max="14345" width="24.28515625" style="109" customWidth="1"/>
    <col min="14346" max="14346" width="29.85546875" style="109" customWidth="1"/>
    <col min="14347" max="14347" width="21.7109375" style="109" customWidth="1"/>
    <col min="14348" max="14592" width="11.42578125" style="109"/>
    <col min="14593" max="14593" width="36" style="109" customWidth="1"/>
    <col min="14594" max="14594" width="21" style="109" customWidth="1"/>
    <col min="14595" max="14596" width="20.42578125" style="109" customWidth="1"/>
    <col min="14597" max="14597" width="19.85546875" style="109" customWidth="1"/>
    <col min="14598" max="14598" width="19.42578125" style="109" customWidth="1"/>
    <col min="14599" max="14599" width="25.28515625" style="109" customWidth="1"/>
    <col min="14600" max="14600" width="23.42578125" style="109" customWidth="1"/>
    <col min="14601" max="14601" width="24.28515625" style="109" customWidth="1"/>
    <col min="14602" max="14602" width="29.85546875" style="109" customWidth="1"/>
    <col min="14603" max="14603" width="21.7109375" style="109" customWidth="1"/>
    <col min="14604" max="14848" width="11.42578125" style="109"/>
    <col min="14849" max="14849" width="36" style="109" customWidth="1"/>
    <col min="14850" max="14850" width="21" style="109" customWidth="1"/>
    <col min="14851" max="14852" width="20.42578125" style="109" customWidth="1"/>
    <col min="14853" max="14853" width="19.85546875" style="109" customWidth="1"/>
    <col min="14854" max="14854" width="19.42578125" style="109" customWidth="1"/>
    <col min="14855" max="14855" width="25.28515625" style="109" customWidth="1"/>
    <col min="14856" max="14856" width="23.42578125" style="109" customWidth="1"/>
    <col min="14857" max="14857" width="24.28515625" style="109" customWidth="1"/>
    <col min="14858" max="14858" width="29.85546875" style="109" customWidth="1"/>
    <col min="14859" max="14859" width="21.7109375" style="109" customWidth="1"/>
    <col min="14860" max="15104" width="11.42578125" style="109"/>
    <col min="15105" max="15105" width="36" style="109" customWidth="1"/>
    <col min="15106" max="15106" width="21" style="109" customWidth="1"/>
    <col min="15107" max="15108" width="20.42578125" style="109" customWidth="1"/>
    <col min="15109" max="15109" width="19.85546875" style="109" customWidth="1"/>
    <col min="15110" max="15110" width="19.42578125" style="109" customWidth="1"/>
    <col min="15111" max="15111" width="25.28515625" style="109" customWidth="1"/>
    <col min="15112" max="15112" width="23.42578125" style="109" customWidth="1"/>
    <col min="15113" max="15113" width="24.28515625" style="109" customWidth="1"/>
    <col min="15114" max="15114" width="29.85546875" style="109" customWidth="1"/>
    <col min="15115" max="15115" width="21.7109375" style="109" customWidth="1"/>
    <col min="15116" max="15360" width="11.42578125" style="109"/>
    <col min="15361" max="15361" width="36" style="109" customWidth="1"/>
    <col min="15362" max="15362" width="21" style="109" customWidth="1"/>
    <col min="15363" max="15364" width="20.42578125" style="109" customWidth="1"/>
    <col min="15365" max="15365" width="19.85546875" style="109" customWidth="1"/>
    <col min="15366" max="15366" width="19.42578125" style="109" customWidth="1"/>
    <col min="15367" max="15367" width="25.28515625" style="109" customWidth="1"/>
    <col min="15368" max="15368" width="23.42578125" style="109" customWidth="1"/>
    <col min="15369" max="15369" width="24.28515625" style="109" customWidth="1"/>
    <col min="15370" max="15370" width="29.85546875" style="109" customWidth="1"/>
    <col min="15371" max="15371" width="21.7109375" style="109" customWidth="1"/>
    <col min="15372" max="15616" width="11.42578125" style="109"/>
    <col min="15617" max="15617" width="36" style="109" customWidth="1"/>
    <col min="15618" max="15618" width="21" style="109" customWidth="1"/>
    <col min="15619" max="15620" width="20.42578125" style="109" customWidth="1"/>
    <col min="15621" max="15621" width="19.85546875" style="109" customWidth="1"/>
    <col min="15622" max="15622" width="19.42578125" style="109" customWidth="1"/>
    <col min="15623" max="15623" width="25.28515625" style="109" customWidth="1"/>
    <col min="15624" max="15624" width="23.42578125" style="109" customWidth="1"/>
    <col min="15625" max="15625" width="24.28515625" style="109" customWidth="1"/>
    <col min="15626" max="15626" width="29.85546875" style="109" customWidth="1"/>
    <col min="15627" max="15627" width="21.7109375" style="109" customWidth="1"/>
    <col min="15628" max="15872" width="11.42578125" style="109"/>
    <col min="15873" max="15873" width="36" style="109" customWidth="1"/>
    <col min="15874" max="15874" width="21" style="109" customWidth="1"/>
    <col min="15875" max="15876" width="20.42578125" style="109" customWidth="1"/>
    <col min="15877" max="15877" width="19.85546875" style="109" customWidth="1"/>
    <col min="15878" max="15878" width="19.42578125" style="109" customWidth="1"/>
    <col min="15879" max="15879" width="25.28515625" style="109" customWidth="1"/>
    <col min="15880" max="15880" width="23.42578125" style="109" customWidth="1"/>
    <col min="15881" max="15881" width="24.28515625" style="109" customWidth="1"/>
    <col min="15882" max="15882" width="29.85546875" style="109" customWidth="1"/>
    <col min="15883" max="15883" width="21.7109375" style="109" customWidth="1"/>
    <col min="15884" max="16128" width="11.42578125" style="109"/>
    <col min="16129" max="16129" width="36" style="109" customWidth="1"/>
    <col min="16130" max="16130" width="21" style="109" customWidth="1"/>
    <col min="16131" max="16132" width="20.42578125" style="109" customWidth="1"/>
    <col min="16133" max="16133" width="19.85546875" style="109" customWidth="1"/>
    <col min="16134" max="16134" width="19.42578125" style="109" customWidth="1"/>
    <col min="16135" max="16135" width="25.28515625" style="109" customWidth="1"/>
    <col min="16136" max="16136" width="23.42578125" style="109" customWidth="1"/>
    <col min="16137" max="16137" width="24.28515625" style="109" customWidth="1"/>
    <col min="16138" max="16138" width="29.85546875" style="109" customWidth="1"/>
    <col min="16139" max="16139" width="21.7109375" style="109" customWidth="1"/>
    <col min="16140" max="16384" width="11.42578125" style="109"/>
  </cols>
  <sheetData>
    <row r="1" spans="1:13" s="58" customFormat="1" ht="15.75" thickBot="1" x14ac:dyDescent="0.25">
      <c r="A1" s="17"/>
      <c r="B1" s="17"/>
      <c r="C1" s="17"/>
      <c r="D1" s="17"/>
      <c r="E1" s="17"/>
      <c r="F1" s="17"/>
      <c r="G1" s="17"/>
      <c r="H1" s="17"/>
      <c r="I1" s="17"/>
      <c r="J1" s="17"/>
      <c r="K1" s="17"/>
    </row>
    <row r="2" spans="1:13" s="58" customFormat="1" x14ac:dyDescent="0.2">
      <c r="A2" s="668" t="s">
        <v>2357</v>
      </c>
      <c r="B2" s="669" t="s">
        <v>712</v>
      </c>
      <c r="C2" s="669" t="s">
        <v>713</v>
      </c>
      <c r="D2" s="669" t="s">
        <v>2799</v>
      </c>
      <c r="E2" s="669" t="s">
        <v>712</v>
      </c>
      <c r="F2" s="669" t="s">
        <v>714</v>
      </c>
      <c r="G2" s="669" t="s">
        <v>3537</v>
      </c>
      <c r="H2" s="669" t="s">
        <v>1330</v>
      </c>
      <c r="I2" s="669" t="s">
        <v>1331</v>
      </c>
      <c r="J2" s="669" t="s">
        <v>3538</v>
      </c>
      <c r="K2" s="670" t="s">
        <v>53</v>
      </c>
    </row>
    <row r="3" spans="1:13" s="58" customFormat="1" ht="15.75" thickBot="1" x14ac:dyDescent="0.25">
      <c r="A3" s="671"/>
      <c r="B3" s="672" t="s">
        <v>715</v>
      </c>
      <c r="C3" s="672" t="s">
        <v>716</v>
      </c>
      <c r="D3" s="672" t="s">
        <v>3375</v>
      </c>
      <c r="E3" s="672" t="s">
        <v>717</v>
      </c>
      <c r="F3" s="672" t="s">
        <v>718</v>
      </c>
      <c r="G3" s="672" t="s">
        <v>3539</v>
      </c>
      <c r="H3" s="672" t="s">
        <v>1332</v>
      </c>
      <c r="I3" s="672" t="s">
        <v>1333</v>
      </c>
      <c r="J3" s="672" t="s">
        <v>2311</v>
      </c>
      <c r="K3" s="673"/>
    </row>
    <row r="4" spans="1:13" s="58" customFormat="1" x14ac:dyDescent="0.2">
      <c r="A4" s="674"/>
      <c r="B4" s="675"/>
      <c r="C4" s="675"/>
      <c r="D4" s="675"/>
      <c r="E4" s="675"/>
      <c r="F4" s="675"/>
      <c r="G4" s="675"/>
      <c r="H4" s="675"/>
      <c r="I4" s="675"/>
      <c r="J4" s="675"/>
      <c r="K4" s="676"/>
      <c r="L4" s="129"/>
      <c r="M4" s="129"/>
    </row>
    <row r="5" spans="1:13" s="58" customFormat="1" x14ac:dyDescent="0.2">
      <c r="A5" s="677" t="s">
        <v>1336</v>
      </c>
      <c r="B5" s="675">
        <v>4778384017.1400003</v>
      </c>
      <c r="C5" s="675">
        <v>126773252.56</v>
      </c>
      <c r="D5" s="675">
        <v>3053100</v>
      </c>
      <c r="E5" s="675">
        <v>283285112.06</v>
      </c>
      <c r="F5" s="675">
        <v>583273.80000000005</v>
      </c>
      <c r="G5" s="675">
        <v>11116236</v>
      </c>
      <c r="H5" s="675">
        <v>38279251.25</v>
      </c>
      <c r="I5" s="675">
        <v>366854441.16000003</v>
      </c>
      <c r="J5" s="675">
        <v>132823319.63</v>
      </c>
      <c r="K5" s="676">
        <f>SUM(B5:J5)</f>
        <v>5741152003.6000013</v>
      </c>
      <c r="L5" s="129"/>
      <c r="M5" s="129"/>
    </row>
    <row r="6" spans="1:13" s="58" customFormat="1" x14ac:dyDescent="0.2">
      <c r="A6" s="677" t="s">
        <v>719</v>
      </c>
      <c r="B6" s="675">
        <v>594077986.63999999</v>
      </c>
      <c r="C6" s="675">
        <v>87766487.459999993</v>
      </c>
      <c r="D6" s="678">
        <v>0</v>
      </c>
      <c r="E6" s="675">
        <v>38689236.439999998</v>
      </c>
      <c r="F6" s="675">
        <v>5713996.9900000002</v>
      </c>
      <c r="G6" s="675">
        <v>36303.949999999997</v>
      </c>
      <c r="H6" s="675">
        <v>813279.75</v>
      </c>
      <c r="I6" s="675">
        <v>49742878.619999997</v>
      </c>
      <c r="J6" s="675">
        <v>0</v>
      </c>
      <c r="K6" s="676">
        <f>SUM(B6:J6)</f>
        <v>776840169.85000002</v>
      </c>
      <c r="L6" s="129"/>
      <c r="M6" s="129"/>
    </row>
    <row r="7" spans="1:13" s="58" customFormat="1" x14ac:dyDescent="0.2">
      <c r="A7" s="679" t="s">
        <v>1337</v>
      </c>
      <c r="B7" s="675">
        <v>4344531518.1899996</v>
      </c>
      <c r="C7" s="675">
        <v>32683638.75</v>
      </c>
      <c r="D7" s="675">
        <v>2477098125.8000002</v>
      </c>
      <c r="E7" s="675">
        <v>1483125899.9200001</v>
      </c>
      <c r="F7" s="675">
        <v>16774226.98</v>
      </c>
      <c r="G7" s="675">
        <v>15652188.220000001</v>
      </c>
      <c r="H7" s="675">
        <v>163971778.40000001</v>
      </c>
      <c r="I7" s="675">
        <v>306912491.44999999</v>
      </c>
      <c r="J7" s="675">
        <v>6618338859.8599997</v>
      </c>
      <c r="K7" s="676">
        <f>SUM(B7:J7)</f>
        <v>15459088727.57</v>
      </c>
      <c r="L7" s="129"/>
      <c r="M7" s="129"/>
    </row>
    <row r="8" spans="1:13" s="58" customFormat="1" x14ac:dyDescent="0.2">
      <c r="A8" s="685" t="s">
        <v>1338</v>
      </c>
      <c r="B8" s="680">
        <v>58012211.200000003</v>
      </c>
      <c r="C8" s="680">
        <v>0</v>
      </c>
      <c r="D8" s="680">
        <v>0</v>
      </c>
      <c r="E8" s="680">
        <v>0</v>
      </c>
      <c r="F8" s="680">
        <v>0</v>
      </c>
      <c r="G8" s="680">
        <v>739876.5</v>
      </c>
      <c r="H8" s="680">
        <v>0</v>
      </c>
      <c r="I8" s="680">
        <v>0</v>
      </c>
      <c r="J8" s="680">
        <v>0</v>
      </c>
      <c r="K8" s="681">
        <f>SUM(B8:J8)</f>
        <v>58752087.700000003</v>
      </c>
      <c r="L8" s="129"/>
      <c r="M8" s="129"/>
    </row>
    <row r="9" spans="1:13" s="58" customFormat="1" ht="15.75" thickBot="1" x14ac:dyDescent="0.25">
      <c r="A9" s="682" t="s">
        <v>53</v>
      </c>
      <c r="B9" s="683">
        <f t="shared" ref="B9:K9" si="0">SUM(B5:B8)</f>
        <v>9775005733.170002</v>
      </c>
      <c r="C9" s="683">
        <f t="shared" si="0"/>
        <v>247223378.76999998</v>
      </c>
      <c r="D9" s="683">
        <f t="shared" si="0"/>
        <v>2480151225.8000002</v>
      </c>
      <c r="E9" s="683">
        <f t="shared" si="0"/>
        <v>1805100248.4200001</v>
      </c>
      <c r="F9" s="683">
        <f t="shared" si="0"/>
        <v>23071497.77</v>
      </c>
      <c r="G9" s="683">
        <f t="shared" si="0"/>
        <v>27544604.670000002</v>
      </c>
      <c r="H9" s="683">
        <f t="shared" si="0"/>
        <v>203064309.40000001</v>
      </c>
      <c r="I9" s="683">
        <f t="shared" si="0"/>
        <v>723509811.23000002</v>
      </c>
      <c r="J9" s="683">
        <f t="shared" si="0"/>
        <v>6751162179.4899998</v>
      </c>
      <c r="K9" s="684">
        <f t="shared" si="0"/>
        <v>22035832988.720001</v>
      </c>
      <c r="L9" s="129"/>
      <c r="M9" s="129"/>
    </row>
    <row r="10" spans="1:13" s="58" customFormat="1" x14ac:dyDescent="0.2">
      <c r="A10" s="17"/>
      <c r="B10" s="17"/>
      <c r="C10" s="17"/>
      <c r="D10" s="17"/>
      <c r="E10" s="17"/>
      <c r="F10" s="17"/>
      <c r="G10" s="17"/>
      <c r="H10" s="17"/>
      <c r="I10" s="17"/>
      <c r="J10" s="17"/>
      <c r="K10" s="17"/>
      <c r="L10" s="129"/>
      <c r="M10" s="129"/>
    </row>
    <row r="11" spans="1:13" x14ac:dyDescent="0.2">
      <c r="A11" s="17"/>
      <c r="B11" s="17"/>
      <c r="C11" s="17"/>
      <c r="D11" s="17"/>
      <c r="E11" s="17"/>
      <c r="F11" s="17"/>
      <c r="G11" s="17"/>
      <c r="H11" s="17"/>
      <c r="I11" s="17"/>
      <c r="J11" s="17"/>
      <c r="K11" s="17"/>
    </row>
    <row r="12" spans="1:13" x14ac:dyDescent="0.2">
      <c r="A12" s="231"/>
      <c r="B12" s="231"/>
      <c r="C12" s="231"/>
      <c r="D12" s="231"/>
      <c r="E12" s="231"/>
      <c r="F12" s="231"/>
      <c r="G12" s="231"/>
      <c r="H12" s="231"/>
      <c r="I12" s="231"/>
      <c r="J12" s="231"/>
      <c r="K12" s="231"/>
    </row>
  </sheetData>
  <phoneticPr fontId="0" type="noConversion"/>
  <printOptions horizontalCentered="1"/>
  <pageMargins left="0.12" right="0.16" top="2.2799999999999998" bottom="1.02" header="0.94" footer="0.87"/>
  <pageSetup paperSize="9" scale="62" orientation="landscape" r:id="rId1"/>
  <headerFooter alignWithMargins="0">
    <oddHeader>&amp;C&amp;"Arial Negrita,Negrita"&amp;K000000UNIVERSIDAD DE COSTA RICA_x000D_VICERRECTORÍA DE ADMINISTRACIÓN_x000D_OFICINA DE ADMINISTRACIÓN FINANCIERA_x000D__x000D_COMPROMISOS DE PRESUPUESTO_x000D_Al 30 de junio de 2017_x000D_Expresado en colones</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I35" sqref="I35"/>
    </sheetView>
  </sheetViews>
  <sheetFormatPr baseColWidth="10" defaultRowHeight="12.75" x14ac:dyDescent="0.2"/>
  <sheetData/>
  <phoneticPr fontId="0" type="noConversion"/>
  <printOptions horizontalCentered="1" verticalCentered="1"/>
  <pageMargins left="1.1811023622047245" right="0.74803149606299213" top="0" bottom="0.98425196850393704" header="0" footer="0"/>
  <pageSetup paperSize="9" scale="95"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S54"/>
  <sheetViews>
    <sheetView topLeftCell="A13" workbookViewId="0">
      <selection activeCell="B24" sqref="B24"/>
    </sheetView>
  </sheetViews>
  <sheetFormatPr baseColWidth="10" defaultRowHeight="12.75" x14ac:dyDescent="0.2"/>
  <cols>
    <col min="1" max="1" width="9.42578125" style="35" customWidth="1"/>
    <col min="2" max="2" width="49.5703125" style="35" bestFit="1" customWidth="1"/>
    <col min="3" max="3" width="18.42578125" style="35" customWidth="1"/>
    <col min="4" max="6" width="15.7109375" style="35" customWidth="1"/>
    <col min="7" max="7" width="17.42578125" style="35" customWidth="1"/>
    <col min="8" max="8" width="15.7109375" style="35" customWidth="1"/>
    <col min="9" max="256" width="10.85546875" style="35"/>
    <col min="257" max="257" width="9.42578125" style="35" customWidth="1"/>
    <col min="258" max="258" width="50.7109375" style="35" customWidth="1"/>
    <col min="259" max="259" width="18.42578125" style="35" customWidth="1"/>
    <col min="260" max="262" width="15.7109375" style="35" customWidth="1"/>
    <col min="263" max="263" width="17.42578125" style="35" customWidth="1"/>
    <col min="264" max="264" width="15.7109375" style="35" customWidth="1"/>
    <col min="265" max="512" width="10.85546875" style="35"/>
    <col min="513" max="513" width="9.42578125" style="35" customWidth="1"/>
    <col min="514" max="514" width="50.7109375" style="35" customWidth="1"/>
    <col min="515" max="515" width="18.42578125" style="35" customWidth="1"/>
    <col min="516" max="518" width="15.7109375" style="35" customWidth="1"/>
    <col min="519" max="519" width="17.42578125" style="35" customWidth="1"/>
    <col min="520" max="520" width="15.7109375" style="35" customWidth="1"/>
    <col min="521" max="768" width="10.85546875" style="35"/>
    <col min="769" max="769" width="9.42578125" style="35" customWidth="1"/>
    <col min="770" max="770" width="50.7109375" style="35" customWidth="1"/>
    <col min="771" max="771" width="18.42578125" style="35" customWidth="1"/>
    <col min="772" max="774" width="15.7109375" style="35" customWidth="1"/>
    <col min="775" max="775" width="17.42578125" style="35" customWidth="1"/>
    <col min="776" max="776" width="15.7109375" style="35" customWidth="1"/>
    <col min="777" max="1024" width="10.85546875" style="35"/>
    <col min="1025" max="1025" width="9.42578125" style="35" customWidth="1"/>
    <col min="1026" max="1026" width="50.7109375" style="35" customWidth="1"/>
    <col min="1027" max="1027" width="18.42578125" style="35" customWidth="1"/>
    <col min="1028" max="1030" width="15.7109375" style="35" customWidth="1"/>
    <col min="1031" max="1031" width="17.42578125" style="35" customWidth="1"/>
    <col min="1032" max="1032" width="15.7109375" style="35" customWidth="1"/>
    <col min="1033" max="1280" width="10.85546875" style="35"/>
    <col min="1281" max="1281" width="9.42578125" style="35" customWidth="1"/>
    <col min="1282" max="1282" width="50.7109375" style="35" customWidth="1"/>
    <col min="1283" max="1283" width="18.42578125" style="35" customWidth="1"/>
    <col min="1284" max="1286" width="15.7109375" style="35" customWidth="1"/>
    <col min="1287" max="1287" width="17.42578125" style="35" customWidth="1"/>
    <col min="1288" max="1288" width="15.7109375" style="35" customWidth="1"/>
    <col min="1289" max="1536" width="10.85546875" style="35"/>
    <col min="1537" max="1537" width="9.42578125" style="35" customWidth="1"/>
    <col min="1538" max="1538" width="50.7109375" style="35" customWidth="1"/>
    <col min="1539" max="1539" width="18.42578125" style="35" customWidth="1"/>
    <col min="1540" max="1542" width="15.7109375" style="35" customWidth="1"/>
    <col min="1543" max="1543" width="17.42578125" style="35" customWidth="1"/>
    <col min="1544" max="1544" width="15.7109375" style="35" customWidth="1"/>
    <col min="1545" max="1792" width="10.85546875" style="35"/>
    <col min="1793" max="1793" width="9.42578125" style="35" customWidth="1"/>
    <col min="1794" max="1794" width="50.7109375" style="35" customWidth="1"/>
    <col min="1795" max="1795" width="18.42578125" style="35" customWidth="1"/>
    <col min="1796" max="1798" width="15.7109375" style="35" customWidth="1"/>
    <col min="1799" max="1799" width="17.42578125" style="35" customWidth="1"/>
    <col min="1800" max="1800" width="15.7109375" style="35" customWidth="1"/>
    <col min="1801" max="2048" width="10.85546875" style="35"/>
    <col min="2049" max="2049" width="9.42578125" style="35" customWidth="1"/>
    <col min="2050" max="2050" width="50.7109375" style="35" customWidth="1"/>
    <col min="2051" max="2051" width="18.42578125" style="35" customWidth="1"/>
    <col min="2052" max="2054" width="15.7109375" style="35" customWidth="1"/>
    <col min="2055" max="2055" width="17.42578125" style="35" customWidth="1"/>
    <col min="2056" max="2056" width="15.7109375" style="35" customWidth="1"/>
    <col min="2057" max="2304" width="10.85546875" style="35"/>
    <col min="2305" max="2305" width="9.42578125" style="35" customWidth="1"/>
    <col min="2306" max="2306" width="50.7109375" style="35" customWidth="1"/>
    <col min="2307" max="2307" width="18.42578125" style="35" customWidth="1"/>
    <col min="2308" max="2310" width="15.7109375" style="35" customWidth="1"/>
    <col min="2311" max="2311" width="17.42578125" style="35" customWidth="1"/>
    <col min="2312" max="2312" width="15.7109375" style="35" customWidth="1"/>
    <col min="2313" max="2560" width="10.85546875" style="35"/>
    <col min="2561" max="2561" width="9.42578125" style="35" customWidth="1"/>
    <col min="2562" max="2562" width="50.7109375" style="35" customWidth="1"/>
    <col min="2563" max="2563" width="18.42578125" style="35" customWidth="1"/>
    <col min="2564" max="2566" width="15.7109375" style="35" customWidth="1"/>
    <col min="2567" max="2567" width="17.42578125" style="35" customWidth="1"/>
    <col min="2568" max="2568" width="15.7109375" style="35" customWidth="1"/>
    <col min="2569" max="2816" width="10.85546875" style="35"/>
    <col min="2817" max="2817" width="9.42578125" style="35" customWidth="1"/>
    <col min="2818" max="2818" width="50.7109375" style="35" customWidth="1"/>
    <col min="2819" max="2819" width="18.42578125" style="35" customWidth="1"/>
    <col min="2820" max="2822" width="15.7109375" style="35" customWidth="1"/>
    <col min="2823" max="2823" width="17.42578125" style="35" customWidth="1"/>
    <col min="2824" max="2824" width="15.7109375" style="35" customWidth="1"/>
    <col min="2825" max="3072" width="10.85546875" style="35"/>
    <col min="3073" max="3073" width="9.42578125" style="35" customWidth="1"/>
    <col min="3074" max="3074" width="50.7109375" style="35" customWidth="1"/>
    <col min="3075" max="3075" width="18.42578125" style="35" customWidth="1"/>
    <col min="3076" max="3078" width="15.7109375" style="35" customWidth="1"/>
    <col min="3079" max="3079" width="17.42578125" style="35" customWidth="1"/>
    <col min="3080" max="3080" width="15.7109375" style="35" customWidth="1"/>
    <col min="3081" max="3328" width="10.85546875" style="35"/>
    <col min="3329" max="3329" width="9.42578125" style="35" customWidth="1"/>
    <col min="3330" max="3330" width="50.7109375" style="35" customWidth="1"/>
    <col min="3331" max="3331" width="18.42578125" style="35" customWidth="1"/>
    <col min="3332" max="3334" width="15.7109375" style="35" customWidth="1"/>
    <col min="3335" max="3335" width="17.42578125" style="35" customWidth="1"/>
    <col min="3336" max="3336" width="15.7109375" style="35" customWidth="1"/>
    <col min="3337" max="3584" width="10.85546875" style="35"/>
    <col min="3585" max="3585" width="9.42578125" style="35" customWidth="1"/>
    <col min="3586" max="3586" width="50.7109375" style="35" customWidth="1"/>
    <col min="3587" max="3587" width="18.42578125" style="35" customWidth="1"/>
    <col min="3588" max="3590" width="15.7109375" style="35" customWidth="1"/>
    <col min="3591" max="3591" width="17.42578125" style="35" customWidth="1"/>
    <col min="3592" max="3592" width="15.7109375" style="35" customWidth="1"/>
    <col min="3593" max="3840" width="10.85546875" style="35"/>
    <col min="3841" max="3841" width="9.42578125" style="35" customWidth="1"/>
    <col min="3842" max="3842" width="50.7109375" style="35" customWidth="1"/>
    <col min="3843" max="3843" width="18.42578125" style="35" customWidth="1"/>
    <col min="3844" max="3846" width="15.7109375" style="35" customWidth="1"/>
    <col min="3847" max="3847" width="17.42578125" style="35" customWidth="1"/>
    <col min="3848" max="3848" width="15.7109375" style="35" customWidth="1"/>
    <col min="3849" max="4096" width="10.85546875" style="35"/>
    <col min="4097" max="4097" width="9.42578125" style="35" customWidth="1"/>
    <col min="4098" max="4098" width="50.7109375" style="35" customWidth="1"/>
    <col min="4099" max="4099" width="18.42578125" style="35" customWidth="1"/>
    <col min="4100" max="4102" width="15.7109375" style="35" customWidth="1"/>
    <col min="4103" max="4103" width="17.42578125" style="35" customWidth="1"/>
    <col min="4104" max="4104" width="15.7109375" style="35" customWidth="1"/>
    <col min="4105" max="4352" width="10.85546875" style="35"/>
    <col min="4353" max="4353" width="9.42578125" style="35" customWidth="1"/>
    <col min="4354" max="4354" width="50.7109375" style="35" customWidth="1"/>
    <col min="4355" max="4355" width="18.42578125" style="35" customWidth="1"/>
    <col min="4356" max="4358" width="15.7109375" style="35" customWidth="1"/>
    <col min="4359" max="4359" width="17.42578125" style="35" customWidth="1"/>
    <col min="4360" max="4360" width="15.7109375" style="35" customWidth="1"/>
    <col min="4361" max="4608" width="10.85546875" style="35"/>
    <col min="4609" max="4609" width="9.42578125" style="35" customWidth="1"/>
    <col min="4610" max="4610" width="50.7109375" style="35" customWidth="1"/>
    <col min="4611" max="4611" width="18.42578125" style="35" customWidth="1"/>
    <col min="4612" max="4614" width="15.7109375" style="35" customWidth="1"/>
    <col min="4615" max="4615" width="17.42578125" style="35" customWidth="1"/>
    <col min="4616" max="4616" width="15.7109375" style="35" customWidth="1"/>
    <col min="4617" max="4864" width="10.85546875" style="35"/>
    <col min="4865" max="4865" width="9.42578125" style="35" customWidth="1"/>
    <col min="4866" max="4866" width="50.7109375" style="35" customWidth="1"/>
    <col min="4867" max="4867" width="18.42578125" style="35" customWidth="1"/>
    <col min="4868" max="4870" width="15.7109375" style="35" customWidth="1"/>
    <col min="4871" max="4871" width="17.42578125" style="35" customWidth="1"/>
    <col min="4872" max="4872" width="15.7109375" style="35" customWidth="1"/>
    <col min="4873" max="5120" width="10.85546875" style="35"/>
    <col min="5121" max="5121" width="9.42578125" style="35" customWidth="1"/>
    <col min="5122" max="5122" width="50.7109375" style="35" customWidth="1"/>
    <col min="5123" max="5123" width="18.42578125" style="35" customWidth="1"/>
    <col min="5124" max="5126" width="15.7109375" style="35" customWidth="1"/>
    <col min="5127" max="5127" width="17.42578125" style="35" customWidth="1"/>
    <col min="5128" max="5128" width="15.7109375" style="35" customWidth="1"/>
    <col min="5129" max="5376" width="10.85546875" style="35"/>
    <col min="5377" max="5377" width="9.42578125" style="35" customWidth="1"/>
    <col min="5378" max="5378" width="50.7109375" style="35" customWidth="1"/>
    <col min="5379" max="5379" width="18.42578125" style="35" customWidth="1"/>
    <col min="5380" max="5382" width="15.7109375" style="35" customWidth="1"/>
    <col min="5383" max="5383" width="17.42578125" style="35" customWidth="1"/>
    <col min="5384" max="5384" width="15.7109375" style="35" customWidth="1"/>
    <col min="5385" max="5632" width="10.85546875" style="35"/>
    <col min="5633" max="5633" width="9.42578125" style="35" customWidth="1"/>
    <col min="5634" max="5634" width="50.7109375" style="35" customWidth="1"/>
    <col min="5635" max="5635" width="18.42578125" style="35" customWidth="1"/>
    <col min="5636" max="5638" width="15.7109375" style="35" customWidth="1"/>
    <col min="5639" max="5639" width="17.42578125" style="35" customWidth="1"/>
    <col min="5640" max="5640" width="15.7109375" style="35" customWidth="1"/>
    <col min="5641" max="5888" width="10.85546875" style="35"/>
    <col min="5889" max="5889" width="9.42578125" style="35" customWidth="1"/>
    <col min="5890" max="5890" width="50.7109375" style="35" customWidth="1"/>
    <col min="5891" max="5891" width="18.42578125" style="35" customWidth="1"/>
    <col min="5892" max="5894" width="15.7109375" style="35" customWidth="1"/>
    <col min="5895" max="5895" width="17.42578125" style="35" customWidth="1"/>
    <col min="5896" max="5896" width="15.7109375" style="35" customWidth="1"/>
    <col min="5897" max="6144" width="10.85546875" style="35"/>
    <col min="6145" max="6145" width="9.42578125" style="35" customWidth="1"/>
    <col min="6146" max="6146" width="50.7109375" style="35" customWidth="1"/>
    <col min="6147" max="6147" width="18.42578125" style="35" customWidth="1"/>
    <col min="6148" max="6150" width="15.7109375" style="35" customWidth="1"/>
    <col min="6151" max="6151" width="17.42578125" style="35" customWidth="1"/>
    <col min="6152" max="6152" width="15.7109375" style="35" customWidth="1"/>
    <col min="6153" max="6400" width="10.85546875" style="35"/>
    <col min="6401" max="6401" width="9.42578125" style="35" customWidth="1"/>
    <col min="6402" max="6402" width="50.7109375" style="35" customWidth="1"/>
    <col min="6403" max="6403" width="18.42578125" style="35" customWidth="1"/>
    <col min="6404" max="6406" width="15.7109375" style="35" customWidth="1"/>
    <col min="6407" max="6407" width="17.42578125" style="35" customWidth="1"/>
    <col min="6408" max="6408" width="15.7109375" style="35" customWidth="1"/>
    <col min="6409" max="6656" width="10.85546875" style="35"/>
    <col min="6657" max="6657" width="9.42578125" style="35" customWidth="1"/>
    <col min="6658" max="6658" width="50.7109375" style="35" customWidth="1"/>
    <col min="6659" max="6659" width="18.42578125" style="35" customWidth="1"/>
    <col min="6660" max="6662" width="15.7109375" style="35" customWidth="1"/>
    <col min="6663" max="6663" width="17.42578125" style="35" customWidth="1"/>
    <col min="6664" max="6664" width="15.7109375" style="35" customWidth="1"/>
    <col min="6665" max="6912" width="10.85546875" style="35"/>
    <col min="6913" max="6913" width="9.42578125" style="35" customWidth="1"/>
    <col min="6914" max="6914" width="50.7109375" style="35" customWidth="1"/>
    <col min="6915" max="6915" width="18.42578125" style="35" customWidth="1"/>
    <col min="6916" max="6918" width="15.7109375" style="35" customWidth="1"/>
    <col min="6919" max="6919" width="17.42578125" style="35" customWidth="1"/>
    <col min="6920" max="6920" width="15.7109375" style="35" customWidth="1"/>
    <col min="6921" max="7168" width="10.85546875" style="35"/>
    <col min="7169" max="7169" width="9.42578125" style="35" customWidth="1"/>
    <col min="7170" max="7170" width="50.7109375" style="35" customWidth="1"/>
    <col min="7171" max="7171" width="18.42578125" style="35" customWidth="1"/>
    <col min="7172" max="7174" width="15.7109375" style="35" customWidth="1"/>
    <col min="7175" max="7175" width="17.42578125" style="35" customWidth="1"/>
    <col min="7176" max="7176" width="15.7109375" style="35" customWidth="1"/>
    <col min="7177" max="7424" width="10.85546875" style="35"/>
    <col min="7425" max="7425" width="9.42578125" style="35" customWidth="1"/>
    <col min="7426" max="7426" width="50.7109375" style="35" customWidth="1"/>
    <col min="7427" max="7427" width="18.42578125" style="35" customWidth="1"/>
    <col min="7428" max="7430" width="15.7109375" style="35" customWidth="1"/>
    <col min="7431" max="7431" width="17.42578125" style="35" customWidth="1"/>
    <col min="7432" max="7432" width="15.7109375" style="35" customWidth="1"/>
    <col min="7433" max="7680" width="10.85546875" style="35"/>
    <col min="7681" max="7681" width="9.42578125" style="35" customWidth="1"/>
    <col min="7682" max="7682" width="50.7109375" style="35" customWidth="1"/>
    <col min="7683" max="7683" width="18.42578125" style="35" customWidth="1"/>
    <col min="7684" max="7686" width="15.7109375" style="35" customWidth="1"/>
    <col min="7687" max="7687" width="17.42578125" style="35" customWidth="1"/>
    <col min="7688" max="7688" width="15.7109375" style="35" customWidth="1"/>
    <col min="7689" max="7936" width="10.85546875" style="35"/>
    <col min="7937" max="7937" width="9.42578125" style="35" customWidth="1"/>
    <col min="7938" max="7938" width="50.7109375" style="35" customWidth="1"/>
    <col min="7939" max="7939" width="18.42578125" style="35" customWidth="1"/>
    <col min="7940" max="7942" width="15.7109375" style="35" customWidth="1"/>
    <col min="7943" max="7943" width="17.42578125" style="35" customWidth="1"/>
    <col min="7944" max="7944" width="15.7109375" style="35" customWidth="1"/>
    <col min="7945" max="8192" width="10.85546875" style="35"/>
    <col min="8193" max="8193" width="9.42578125" style="35" customWidth="1"/>
    <col min="8194" max="8194" width="50.7109375" style="35" customWidth="1"/>
    <col min="8195" max="8195" width="18.42578125" style="35" customWidth="1"/>
    <col min="8196" max="8198" width="15.7109375" style="35" customWidth="1"/>
    <col min="8199" max="8199" width="17.42578125" style="35" customWidth="1"/>
    <col min="8200" max="8200" width="15.7109375" style="35" customWidth="1"/>
    <col min="8201" max="8448" width="10.85546875" style="35"/>
    <col min="8449" max="8449" width="9.42578125" style="35" customWidth="1"/>
    <col min="8450" max="8450" width="50.7109375" style="35" customWidth="1"/>
    <col min="8451" max="8451" width="18.42578125" style="35" customWidth="1"/>
    <col min="8452" max="8454" width="15.7109375" style="35" customWidth="1"/>
    <col min="8455" max="8455" width="17.42578125" style="35" customWidth="1"/>
    <col min="8456" max="8456" width="15.7109375" style="35" customWidth="1"/>
    <col min="8457" max="8704" width="10.85546875" style="35"/>
    <col min="8705" max="8705" width="9.42578125" style="35" customWidth="1"/>
    <col min="8706" max="8706" width="50.7109375" style="35" customWidth="1"/>
    <col min="8707" max="8707" width="18.42578125" style="35" customWidth="1"/>
    <col min="8708" max="8710" width="15.7109375" style="35" customWidth="1"/>
    <col min="8711" max="8711" width="17.42578125" style="35" customWidth="1"/>
    <col min="8712" max="8712" width="15.7109375" style="35" customWidth="1"/>
    <col min="8713" max="8960" width="10.85546875" style="35"/>
    <col min="8961" max="8961" width="9.42578125" style="35" customWidth="1"/>
    <col min="8962" max="8962" width="50.7109375" style="35" customWidth="1"/>
    <col min="8963" max="8963" width="18.42578125" style="35" customWidth="1"/>
    <col min="8964" max="8966" width="15.7109375" style="35" customWidth="1"/>
    <col min="8967" max="8967" width="17.42578125" style="35" customWidth="1"/>
    <col min="8968" max="8968" width="15.7109375" style="35" customWidth="1"/>
    <col min="8969" max="9216" width="10.85546875" style="35"/>
    <col min="9217" max="9217" width="9.42578125" style="35" customWidth="1"/>
    <col min="9218" max="9218" width="50.7109375" style="35" customWidth="1"/>
    <col min="9219" max="9219" width="18.42578125" style="35" customWidth="1"/>
    <col min="9220" max="9222" width="15.7109375" style="35" customWidth="1"/>
    <col min="9223" max="9223" width="17.42578125" style="35" customWidth="1"/>
    <col min="9224" max="9224" width="15.7109375" style="35" customWidth="1"/>
    <col min="9225" max="9472" width="10.85546875" style="35"/>
    <col min="9473" max="9473" width="9.42578125" style="35" customWidth="1"/>
    <col min="9474" max="9474" width="50.7109375" style="35" customWidth="1"/>
    <col min="9475" max="9475" width="18.42578125" style="35" customWidth="1"/>
    <col min="9476" max="9478" width="15.7109375" style="35" customWidth="1"/>
    <col min="9479" max="9479" width="17.42578125" style="35" customWidth="1"/>
    <col min="9480" max="9480" width="15.7109375" style="35" customWidth="1"/>
    <col min="9481" max="9728" width="10.85546875" style="35"/>
    <col min="9729" max="9729" width="9.42578125" style="35" customWidth="1"/>
    <col min="9730" max="9730" width="50.7109375" style="35" customWidth="1"/>
    <col min="9731" max="9731" width="18.42578125" style="35" customWidth="1"/>
    <col min="9732" max="9734" width="15.7109375" style="35" customWidth="1"/>
    <col min="9735" max="9735" width="17.42578125" style="35" customWidth="1"/>
    <col min="9736" max="9736" width="15.7109375" style="35" customWidth="1"/>
    <col min="9737" max="9984" width="10.85546875" style="35"/>
    <col min="9985" max="9985" width="9.42578125" style="35" customWidth="1"/>
    <col min="9986" max="9986" width="50.7109375" style="35" customWidth="1"/>
    <col min="9987" max="9987" width="18.42578125" style="35" customWidth="1"/>
    <col min="9988" max="9990" width="15.7109375" style="35" customWidth="1"/>
    <col min="9991" max="9991" width="17.42578125" style="35" customWidth="1"/>
    <col min="9992" max="9992" width="15.7109375" style="35" customWidth="1"/>
    <col min="9993" max="10240" width="10.85546875" style="35"/>
    <col min="10241" max="10241" width="9.42578125" style="35" customWidth="1"/>
    <col min="10242" max="10242" width="50.7109375" style="35" customWidth="1"/>
    <col min="10243" max="10243" width="18.42578125" style="35" customWidth="1"/>
    <col min="10244" max="10246" width="15.7109375" style="35" customWidth="1"/>
    <col min="10247" max="10247" width="17.42578125" style="35" customWidth="1"/>
    <col min="10248" max="10248" width="15.7109375" style="35" customWidth="1"/>
    <col min="10249" max="10496" width="10.85546875" style="35"/>
    <col min="10497" max="10497" width="9.42578125" style="35" customWidth="1"/>
    <col min="10498" max="10498" width="50.7109375" style="35" customWidth="1"/>
    <col min="10499" max="10499" width="18.42578125" style="35" customWidth="1"/>
    <col min="10500" max="10502" width="15.7109375" style="35" customWidth="1"/>
    <col min="10503" max="10503" width="17.42578125" style="35" customWidth="1"/>
    <col min="10504" max="10504" width="15.7109375" style="35" customWidth="1"/>
    <col min="10505" max="10752" width="10.85546875" style="35"/>
    <col min="10753" max="10753" width="9.42578125" style="35" customWidth="1"/>
    <col min="10754" max="10754" width="50.7109375" style="35" customWidth="1"/>
    <col min="10755" max="10755" width="18.42578125" style="35" customWidth="1"/>
    <col min="10756" max="10758" width="15.7109375" style="35" customWidth="1"/>
    <col min="10759" max="10759" width="17.42578125" style="35" customWidth="1"/>
    <col min="10760" max="10760" width="15.7109375" style="35" customWidth="1"/>
    <col min="10761" max="11008" width="10.85546875" style="35"/>
    <col min="11009" max="11009" width="9.42578125" style="35" customWidth="1"/>
    <col min="11010" max="11010" width="50.7109375" style="35" customWidth="1"/>
    <col min="11011" max="11011" width="18.42578125" style="35" customWidth="1"/>
    <col min="11012" max="11014" width="15.7109375" style="35" customWidth="1"/>
    <col min="11015" max="11015" width="17.42578125" style="35" customWidth="1"/>
    <col min="11016" max="11016" width="15.7109375" style="35" customWidth="1"/>
    <col min="11017" max="11264" width="10.85546875" style="35"/>
    <col min="11265" max="11265" width="9.42578125" style="35" customWidth="1"/>
    <col min="11266" max="11266" width="50.7109375" style="35" customWidth="1"/>
    <col min="11267" max="11267" width="18.42578125" style="35" customWidth="1"/>
    <col min="11268" max="11270" width="15.7109375" style="35" customWidth="1"/>
    <col min="11271" max="11271" width="17.42578125" style="35" customWidth="1"/>
    <col min="11272" max="11272" width="15.7109375" style="35" customWidth="1"/>
    <col min="11273" max="11520" width="10.85546875" style="35"/>
    <col min="11521" max="11521" width="9.42578125" style="35" customWidth="1"/>
    <col min="11522" max="11522" width="50.7109375" style="35" customWidth="1"/>
    <col min="11523" max="11523" width="18.42578125" style="35" customWidth="1"/>
    <col min="11524" max="11526" width="15.7109375" style="35" customWidth="1"/>
    <col min="11527" max="11527" width="17.42578125" style="35" customWidth="1"/>
    <col min="11528" max="11528" width="15.7109375" style="35" customWidth="1"/>
    <col min="11529" max="11776" width="10.85546875" style="35"/>
    <col min="11777" max="11777" width="9.42578125" style="35" customWidth="1"/>
    <col min="11778" max="11778" width="50.7109375" style="35" customWidth="1"/>
    <col min="11779" max="11779" width="18.42578125" style="35" customWidth="1"/>
    <col min="11780" max="11782" width="15.7109375" style="35" customWidth="1"/>
    <col min="11783" max="11783" width="17.42578125" style="35" customWidth="1"/>
    <col min="11784" max="11784" width="15.7109375" style="35" customWidth="1"/>
    <col min="11785" max="12032" width="10.85546875" style="35"/>
    <col min="12033" max="12033" width="9.42578125" style="35" customWidth="1"/>
    <col min="12034" max="12034" width="50.7109375" style="35" customWidth="1"/>
    <col min="12035" max="12035" width="18.42578125" style="35" customWidth="1"/>
    <col min="12036" max="12038" width="15.7109375" style="35" customWidth="1"/>
    <col min="12039" max="12039" width="17.42578125" style="35" customWidth="1"/>
    <col min="12040" max="12040" width="15.7109375" style="35" customWidth="1"/>
    <col min="12041" max="12288" width="10.85546875" style="35"/>
    <col min="12289" max="12289" width="9.42578125" style="35" customWidth="1"/>
    <col min="12290" max="12290" width="50.7109375" style="35" customWidth="1"/>
    <col min="12291" max="12291" width="18.42578125" style="35" customWidth="1"/>
    <col min="12292" max="12294" width="15.7109375" style="35" customWidth="1"/>
    <col min="12295" max="12295" width="17.42578125" style="35" customWidth="1"/>
    <col min="12296" max="12296" width="15.7109375" style="35" customWidth="1"/>
    <col min="12297" max="12544" width="10.85546875" style="35"/>
    <col min="12545" max="12545" width="9.42578125" style="35" customWidth="1"/>
    <col min="12546" max="12546" width="50.7109375" style="35" customWidth="1"/>
    <col min="12547" max="12547" width="18.42578125" style="35" customWidth="1"/>
    <col min="12548" max="12550" width="15.7109375" style="35" customWidth="1"/>
    <col min="12551" max="12551" width="17.42578125" style="35" customWidth="1"/>
    <col min="12552" max="12552" width="15.7109375" style="35" customWidth="1"/>
    <col min="12553" max="12800" width="10.85546875" style="35"/>
    <col min="12801" max="12801" width="9.42578125" style="35" customWidth="1"/>
    <col min="12802" max="12802" width="50.7109375" style="35" customWidth="1"/>
    <col min="12803" max="12803" width="18.42578125" style="35" customWidth="1"/>
    <col min="12804" max="12806" width="15.7109375" style="35" customWidth="1"/>
    <col min="12807" max="12807" width="17.42578125" style="35" customWidth="1"/>
    <col min="12808" max="12808" width="15.7109375" style="35" customWidth="1"/>
    <col min="12809" max="13056" width="10.85546875" style="35"/>
    <col min="13057" max="13057" width="9.42578125" style="35" customWidth="1"/>
    <col min="13058" max="13058" width="50.7109375" style="35" customWidth="1"/>
    <col min="13059" max="13059" width="18.42578125" style="35" customWidth="1"/>
    <col min="13060" max="13062" width="15.7109375" style="35" customWidth="1"/>
    <col min="13063" max="13063" width="17.42578125" style="35" customWidth="1"/>
    <col min="13064" max="13064" width="15.7109375" style="35" customWidth="1"/>
    <col min="13065" max="13312" width="10.85546875" style="35"/>
    <col min="13313" max="13313" width="9.42578125" style="35" customWidth="1"/>
    <col min="13314" max="13314" width="50.7109375" style="35" customWidth="1"/>
    <col min="13315" max="13315" width="18.42578125" style="35" customWidth="1"/>
    <col min="13316" max="13318" width="15.7109375" style="35" customWidth="1"/>
    <col min="13319" max="13319" width="17.42578125" style="35" customWidth="1"/>
    <col min="13320" max="13320" width="15.7109375" style="35" customWidth="1"/>
    <col min="13321" max="13568" width="10.85546875" style="35"/>
    <col min="13569" max="13569" width="9.42578125" style="35" customWidth="1"/>
    <col min="13570" max="13570" width="50.7109375" style="35" customWidth="1"/>
    <col min="13571" max="13571" width="18.42578125" style="35" customWidth="1"/>
    <col min="13572" max="13574" width="15.7109375" style="35" customWidth="1"/>
    <col min="13575" max="13575" width="17.42578125" style="35" customWidth="1"/>
    <col min="13576" max="13576" width="15.7109375" style="35" customWidth="1"/>
    <col min="13577" max="13824" width="10.85546875" style="35"/>
    <col min="13825" max="13825" width="9.42578125" style="35" customWidth="1"/>
    <col min="13826" max="13826" width="50.7109375" style="35" customWidth="1"/>
    <col min="13827" max="13827" width="18.42578125" style="35" customWidth="1"/>
    <col min="13828" max="13830" width="15.7109375" style="35" customWidth="1"/>
    <col min="13831" max="13831" width="17.42578125" style="35" customWidth="1"/>
    <col min="13832" max="13832" width="15.7109375" style="35" customWidth="1"/>
    <col min="13833" max="14080" width="10.85546875" style="35"/>
    <col min="14081" max="14081" width="9.42578125" style="35" customWidth="1"/>
    <col min="14082" max="14082" width="50.7109375" style="35" customWidth="1"/>
    <col min="14083" max="14083" width="18.42578125" style="35" customWidth="1"/>
    <col min="14084" max="14086" width="15.7109375" style="35" customWidth="1"/>
    <col min="14087" max="14087" width="17.42578125" style="35" customWidth="1"/>
    <col min="14088" max="14088" width="15.7109375" style="35" customWidth="1"/>
    <col min="14089" max="14336" width="10.85546875" style="35"/>
    <col min="14337" max="14337" width="9.42578125" style="35" customWidth="1"/>
    <col min="14338" max="14338" width="50.7109375" style="35" customWidth="1"/>
    <col min="14339" max="14339" width="18.42578125" style="35" customWidth="1"/>
    <col min="14340" max="14342" width="15.7109375" style="35" customWidth="1"/>
    <col min="14343" max="14343" width="17.42578125" style="35" customWidth="1"/>
    <col min="14344" max="14344" width="15.7109375" style="35" customWidth="1"/>
    <col min="14345" max="14592" width="10.85546875" style="35"/>
    <col min="14593" max="14593" width="9.42578125" style="35" customWidth="1"/>
    <col min="14594" max="14594" width="50.7109375" style="35" customWidth="1"/>
    <col min="14595" max="14595" width="18.42578125" style="35" customWidth="1"/>
    <col min="14596" max="14598" width="15.7109375" style="35" customWidth="1"/>
    <col min="14599" max="14599" width="17.42578125" style="35" customWidth="1"/>
    <col min="14600" max="14600" width="15.7109375" style="35" customWidth="1"/>
    <col min="14601" max="14848" width="10.85546875" style="35"/>
    <col min="14849" max="14849" width="9.42578125" style="35" customWidth="1"/>
    <col min="14850" max="14850" width="50.7109375" style="35" customWidth="1"/>
    <col min="14851" max="14851" width="18.42578125" style="35" customWidth="1"/>
    <col min="14852" max="14854" width="15.7109375" style="35" customWidth="1"/>
    <col min="14855" max="14855" width="17.42578125" style="35" customWidth="1"/>
    <col min="14856" max="14856" width="15.7109375" style="35" customWidth="1"/>
    <col min="14857" max="15104" width="10.85546875" style="35"/>
    <col min="15105" max="15105" width="9.42578125" style="35" customWidth="1"/>
    <col min="15106" max="15106" width="50.7109375" style="35" customWidth="1"/>
    <col min="15107" max="15107" width="18.42578125" style="35" customWidth="1"/>
    <col min="15108" max="15110" width="15.7109375" style="35" customWidth="1"/>
    <col min="15111" max="15111" width="17.42578125" style="35" customWidth="1"/>
    <col min="15112" max="15112" width="15.7109375" style="35" customWidth="1"/>
    <col min="15113" max="15360" width="10.85546875" style="35"/>
    <col min="15361" max="15361" width="9.42578125" style="35" customWidth="1"/>
    <col min="15362" max="15362" width="50.7109375" style="35" customWidth="1"/>
    <col min="15363" max="15363" width="18.42578125" style="35" customWidth="1"/>
    <col min="15364" max="15366" width="15.7109375" style="35" customWidth="1"/>
    <col min="15367" max="15367" width="17.42578125" style="35" customWidth="1"/>
    <col min="15368" max="15368" width="15.7109375" style="35" customWidth="1"/>
    <col min="15369" max="15616" width="10.85546875" style="35"/>
    <col min="15617" max="15617" width="9.42578125" style="35" customWidth="1"/>
    <col min="15618" max="15618" width="50.7109375" style="35" customWidth="1"/>
    <col min="15619" max="15619" width="18.42578125" style="35" customWidth="1"/>
    <col min="15620" max="15622" width="15.7109375" style="35" customWidth="1"/>
    <col min="15623" max="15623" width="17.42578125" style="35" customWidth="1"/>
    <col min="15624" max="15624" width="15.7109375" style="35" customWidth="1"/>
    <col min="15625" max="15872" width="10.85546875" style="35"/>
    <col min="15873" max="15873" width="9.42578125" style="35" customWidth="1"/>
    <col min="15874" max="15874" width="50.7109375" style="35" customWidth="1"/>
    <col min="15875" max="15875" width="18.42578125" style="35" customWidth="1"/>
    <col min="15876" max="15878" width="15.7109375" style="35" customWidth="1"/>
    <col min="15879" max="15879" width="17.42578125" style="35" customWidth="1"/>
    <col min="15880" max="15880" width="15.7109375" style="35" customWidth="1"/>
    <col min="15881" max="16128" width="10.85546875" style="35"/>
    <col min="16129" max="16129" width="9.42578125" style="35" customWidth="1"/>
    <col min="16130" max="16130" width="50.7109375" style="35" customWidth="1"/>
    <col min="16131" max="16131" width="18.42578125" style="35" customWidth="1"/>
    <col min="16132" max="16134" width="15.7109375" style="35" customWidth="1"/>
    <col min="16135" max="16135" width="17.42578125" style="35" customWidth="1"/>
    <col min="16136" max="16136" width="15.7109375" style="35" customWidth="1"/>
    <col min="16137" max="16384" width="10.85546875" style="35"/>
  </cols>
  <sheetData>
    <row r="1" spans="1:227" x14ac:dyDescent="0.2">
      <c r="A1" s="1088" t="s">
        <v>4103</v>
      </c>
      <c r="B1" s="1088"/>
      <c r="C1" s="1088"/>
      <c r="D1" s="1088"/>
      <c r="E1" s="1088"/>
      <c r="F1" s="1088"/>
      <c r="G1" s="1088"/>
    </row>
    <row r="2" spans="1:227" x14ac:dyDescent="0.2">
      <c r="A2" s="1088" t="s">
        <v>2276</v>
      </c>
      <c r="B2" s="1088"/>
      <c r="C2" s="1088"/>
      <c r="D2" s="1088"/>
      <c r="E2" s="1088"/>
      <c r="F2" s="1088"/>
      <c r="G2" s="1088"/>
    </row>
    <row r="3" spans="1:227" x14ac:dyDescent="0.2">
      <c r="A3" s="1088" t="s">
        <v>3548</v>
      </c>
      <c r="B3" s="1088"/>
      <c r="C3" s="1088"/>
      <c r="D3" s="1088"/>
      <c r="E3" s="1088"/>
      <c r="F3" s="1088"/>
      <c r="G3" s="1088"/>
    </row>
    <row r="4" spans="1:227" x14ac:dyDescent="0.2">
      <c r="A4" s="1088" t="s">
        <v>3534</v>
      </c>
      <c r="B4" s="1088"/>
      <c r="C4" s="1088"/>
      <c r="D4" s="1088"/>
      <c r="E4" s="1088"/>
      <c r="F4" s="1088"/>
      <c r="G4" s="1088"/>
    </row>
    <row r="5" spans="1:227" ht="13.5" thickBot="1" x14ac:dyDescent="0.25">
      <c r="A5" s="996"/>
      <c r="B5" s="996"/>
      <c r="C5" s="996"/>
      <c r="D5" s="996"/>
      <c r="E5" s="996"/>
      <c r="F5" s="996"/>
      <c r="G5" s="996"/>
    </row>
    <row r="6" spans="1:227" s="36" customFormat="1" ht="19.5" customHeight="1" thickBot="1" x14ac:dyDescent="0.25">
      <c r="A6" s="1029" t="s">
        <v>3</v>
      </c>
      <c r="B6" s="1029" t="s">
        <v>1564</v>
      </c>
      <c r="C6" s="1029" t="s">
        <v>3991</v>
      </c>
      <c r="D6" s="1029" t="s">
        <v>4</v>
      </c>
      <c r="E6" s="1029" t="s">
        <v>5</v>
      </c>
      <c r="F6" s="1029" t="s">
        <v>3033</v>
      </c>
      <c r="G6" s="1029" t="s">
        <v>1565</v>
      </c>
    </row>
    <row r="7" spans="1:227" s="36" customFormat="1" x14ac:dyDescent="0.2">
      <c r="A7" s="998" t="s">
        <v>3992</v>
      </c>
      <c r="B7" s="999" t="s">
        <v>3993</v>
      </c>
      <c r="C7" s="1000">
        <f t="shared" ref="C7:C39" si="0">SUM(D7:G7)</f>
        <v>400000</v>
      </c>
      <c r="D7" s="1001">
        <v>400000</v>
      </c>
      <c r="E7" s="1001">
        <v>0</v>
      </c>
      <c r="F7" s="1001">
        <v>0</v>
      </c>
      <c r="G7" s="1001">
        <v>0</v>
      </c>
      <c r="H7" s="34"/>
      <c r="I7" s="59"/>
    </row>
    <row r="8" spans="1:227" s="36" customFormat="1" x14ac:dyDescent="0.2">
      <c r="A8" s="998" t="s">
        <v>1566</v>
      </c>
      <c r="B8" s="999" t="s">
        <v>3034</v>
      </c>
      <c r="C8" s="1000">
        <f t="shared" si="0"/>
        <v>37491633.640000001</v>
      </c>
      <c r="D8" s="1001">
        <v>34031013.530000001</v>
      </c>
      <c r="E8" s="1001">
        <v>131200</v>
      </c>
      <c r="F8" s="1001">
        <v>0</v>
      </c>
      <c r="G8" s="1001">
        <v>3329420.11</v>
      </c>
      <c r="H8" s="34"/>
      <c r="I8" s="59"/>
    </row>
    <row r="9" spans="1:227" s="36" customFormat="1" x14ac:dyDescent="0.2">
      <c r="A9" s="43" t="s">
        <v>1567</v>
      </c>
      <c r="B9" s="39" t="s">
        <v>3035</v>
      </c>
      <c r="C9" s="34">
        <f t="shared" si="0"/>
        <v>21765063.120000001</v>
      </c>
      <c r="D9" s="40">
        <v>21732190</v>
      </c>
      <c r="E9" s="40">
        <v>0</v>
      </c>
      <c r="F9" s="40">
        <v>0</v>
      </c>
      <c r="G9" s="40">
        <v>32873.120000000003</v>
      </c>
      <c r="H9" s="34"/>
      <c r="I9" s="59"/>
    </row>
    <row r="10" spans="1:227" s="36" customFormat="1" x14ac:dyDescent="0.2">
      <c r="A10" s="43" t="s">
        <v>3994</v>
      </c>
      <c r="B10" s="39" t="s">
        <v>3995</v>
      </c>
      <c r="C10" s="34">
        <f t="shared" si="0"/>
        <v>3000</v>
      </c>
      <c r="D10" s="40">
        <v>0</v>
      </c>
      <c r="E10" s="40">
        <v>3000</v>
      </c>
      <c r="F10" s="40">
        <v>0</v>
      </c>
      <c r="G10" s="40">
        <v>0</v>
      </c>
      <c r="H10" s="34"/>
      <c r="I10" s="59"/>
    </row>
    <row r="11" spans="1:227" s="36" customFormat="1" x14ac:dyDescent="0.2">
      <c r="A11" s="43" t="s">
        <v>1568</v>
      </c>
      <c r="B11" s="39" t="s">
        <v>1569</v>
      </c>
      <c r="C11" s="34">
        <f t="shared" si="0"/>
        <v>166283</v>
      </c>
      <c r="D11" s="41">
        <v>0</v>
      </c>
      <c r="E11" s="41">
        <v>0</v>
      </c>
      <c r="F11" s="41">
        <v>0</v>
      </c>
      <c r="G11" s="41">
        <v>166283</v>
      </c>
      <c r="H11" s="34"/>
      <c r="I11" s="59"/>
    </row>
    <row r="12" spans="1:227" x14ac:dyDescent="0.2">
      <c r="A12" s="43" t="s">
        <v>3996</v>
      </c>
      <c r="B12" s="39" t="s">
        <v>4134</v>
      </c>
      <c r="C12" s="34">
        <f t="shared" si="0"/>
        <v>202862295.28999999</v>
      </c>
      <c r="D12" s="41">
        <v>202862295.28999999</v>
      </c>
      <c r="E12" s="41">
        <v>0</v>
      </c>
      <c r="F12" s="41">
        <v>0</v>
      </c>
      <c r="G12" s="41">
        <v>0</v>
      </c>
      <c r="H12" s="34"/>
      <c r="I12" s="59"/>
    </row>
    <row r="13" spans="1:227" x14ac:dyDescent="0.2">
      <c r="A13" s="43" t="s">
        <v>1570</v>
      </c>
      <c r="B13" s="39" t="s">
        <v>1571</v>
      </c>
      <c r="C13" s="34">
        <f t="shared" si="0"/>
        <v>240165.15</v>
      </c>
      <c r="D13" s="41">
        <v>0</v>
      </c>
      <c r="E13" s="41">
        <v>0</v>
      </c>
      <c r="F13" s="41">
        <v>0</v>
      </c>
      <c r="G13" s="42">
        <v>240165.15</v>
      </c>
      <c r="H13" s="34"/>
      <c r="I13" s="59"/>
    </row>
    <row r="14" spans="1:227" x14ac:dyDescent="0.2">
      <c r="A14" s="43" t="s">
        <v>3997</v>
      </c>
      <c r="B14" s="39" t="s">
        <v>3998</v>
      </c>
      <c r="C14" s="34">
        <f t="shared" si="0"/>
        <v>330339</v>
      </c>
      <c r="D14" s="41">
        <v>0</v>
      </c>
      <c r="E14" s="41">
        <v>0</v>
      </c>
      <c r="F14" s="41">
        <v>330339</v>
      </c>
      <c r="G14" s="42">
        <v>0</v>
      </c>
      <c r="H14" s="34"/>
      <c r="I14" s="59"/>
    </row>
    <row r="15" spans="1:227" x14ac:dyDescent="0.2">
      <c r="A15" s="998" t="s">
        <v>3999</v>
      </c>
      <c r="B15" s="39" t="s">
        <v>4135</v>
      </c>
      <c r="C15" s="34">
        <f t="shared" si="0"/>
        <v>2821569.5</v>
      </c>
      <c r="D15" s="41">
        <v>1867336.5</v>
      </c>
      <c r="E15" s="41">
        <v>20000</v>
      </c>
      <c r="F15" s="41">
        <v>934233</v>
      </c>
      <c r="G15" s="42">
        <v>0</v>
      </c>
      <c r="H15" s="34"/>
      <c r="I15" s="59"/>
    </row>
    <row r="16" spans="1:227" x14ac:dyDescent="0.2">
      <c r="A16" s="43" t="s">
        <v>1585</v>
      </c>
      <c r="B16" s="39" t="s">
        <v>4010</v>
      </c>
      <c r="C16" s="34">
        <f t="shared" si="0"/>
        <v>4076780800.6900001</v>
      </c>
      <c r="D16" s="42">
        <v>0</v>
      </c>
      <c r="E16" s="42">
        <v>0</v>
      </c>
      <c r="F16" s="42">
        <v>4117452.53</v>
      </c>
      <c r="G16" s="42">
        <v>4072663348.1599998</v>
      </c>
      <c r="H16" s="34"/>
      <c r="I16" s="43"/>
      <c r="J16" s="40"/>
      <c r="K16" s="34"/>
      <c r="L16" s="38"/>
      <c r="M16" s="39"/>
      <c r="N16" s="40"/>
      <c r="O16" s="34"/>
      <c r="P16" s="38"/>
      <c r="Q16" s="39"/>
      <c r="R16" s="40"/>
      <c r="S16" s="34"/>
      <c r="T16" s="38"/>
      <c r="U16" s="39"/>
      <c r="V16" s="40"/>
      <c r="W16" s="34"/>
      <c r="X16" s="38"/>
      <c r="Y16" s="39"/>
      <c r="Z16" s="40"/>
      <c r="AA16" s="34"/>
      <c r="AB16" s="38"/>
      <c r="AC16" s="39"/>
      <c r="AD16" s="40"/>
      <c r="AE16" s="34"/>
      <c r="AF16" s="38"/>
      <c r="AG16" s="39"/>
      <c r="AH16" s="40"/>
      <c r="AI16" s="34"/>
      <c r="AJ16" s="38"/>
      <c r="AK16" s="39"/>
      <c r="AL16" s="40"/>
      <c r="AM16" s="34"/>
      <c r="AN16" s="38"/>
      <c r="AO16" s="39"/>
      <c r="AP16" s="40"/>
      <c r="AQ16" s="34"/>
      <c r="AR16" s="38"/>
      <c r="AS16" s="39"/>
      <c r="AT16" s="40"/>
      <c r="AU16" s="34"/>
      <c r="AV16" s="38"/>
      <c r="AW16" s="39"/>
      <c r="AX16" s="40"/>
      <c r="AY16" s="34"/>
      <c r="AZ16" s="38"/>
      <c r="BA16" s="39"/>
      <c r="BB16" s="40"/>
      <c r="BC16" s="34"/>
      <c r="BD16" s="38"/>
      <c r="BE16" s="39"/>
      <c r="BF16" s="40"/>
      <c r="BG16" s="34"/>
      <c r="BH16" s="38"/>
      <c r="BI16" s="39"/>
      <c r="BJ16" s="40"/>
      <c r="BK16" s="34"/>
      <c r="BL16" s="38"/>
      <c r="BM16" s="39"/>
      <c r="BN16" s="40"/>
      <c r="BO16" s="34"/>
      <c r="BP16" s="38"/>
      <c r="BQ16" s="39"/>
      <c r="BR16" s="40"/>
      <c r="BS16" s="34"/>
      <c r="BT16" s="38"/>
      <c r="BU16" s="39"/>
      <c r="BV16" s="40"/>
      <c r="BW16" s="34"/>
      <c r="BX16" s="38"/>
      <c r="BY16" s="39"/>
      <c r="BZ16" s="40"/>
      <c r="CA16" s="34"/>
      <c r="CB16" s="38"/>
      <c r="CC16" s="39"/>
      <c r="CD16" s="40"/>
      <c r="CE16" s="34"/>
      <c r="CF16" s="38"/>
      <c r="CG16" s="39"/>
      <c r="CH16" s="40"/>
      <c r="CI16" s="34"/>
      <c r="CJ16" s="38"/>
      <c r="CK16" s="39"/>
      <c r="CL16" s="40"/>
      <c r="CM16" s="34"/>
      <c r="CN16" s="38"/>
      <c r="CO16" s="39"/>
      <c r="CP16" s="40"/>
      <c r="CQ16" s="34"/>
      <c r="CR16" s="38"/>
      <c r="CS16" s="39"/>
      <c r="CT16" s="40"/>
      <c r="CU16" s="34"/>
      <c r="CV16" s="38"/>
      <c r="CW16" s="39"/>
      <c r="CX16" s="40"/>
      <c r="CY16" s="34"/>
      <c r="CZ16" s="38"/>
      <c r="DA16" s="39"/>
      <c r="DB16" s="40"/>
      <c r="DC16" s="34"/>
      <c r="DD16" s="38"/>
      <c r="DE16" s="39"/>
      <c r="DF16" s="40"/>
      <c r="DG16" s="34"/>
      <c r="DH16" s="38"/>
      <c r="DI16" s="39"/>
      <c r="DJ16" s="40"/>
      <c r="DK16" s="34"/>
      <c r="DL16" s="38"/>
      <c r="DM16" s="39"/>
      <c r="DN16" s="40"/>
      <c r="DO16" s="34"/>
      <c r="DP16" s="38"/>
      <c r="DQ16" s="39"/>
      <c r="DR16" s="40"/>
      <c r="DS16" s="34"/>
      <c r="DT16" s="38"/>
      <c r="DU16" s="39"/>
      <c r="DV16" s="40"/>
      <c r="DW16" s="34"/>
      <c r="DX16" s="38"/>
      <c r="DY16" s="39"/>
      <c r="DZ16" s="40"/>
      <c r="EA16" s="34"/>
      <c r="EB16" s="38"/>
      <c r="EC16" s="39"/>
      <c r="ED16" s="40"/>
      <c r="EE16" s="34"/>
      <c r="EF16" s="38"/>
      <c r="EG16" s="39"/>
      <c r="EH16" s="40"/>
      <c r="EI16" s="34"/>
      <c r="EJ16" s="38"/>
      <c r="EK16" s="39"/>
      <c r="EL16" s="40"/>
      <c r="EM16" s="34"/>
      <c r="EN16" s="38"/>
      <c r="EO16" s="39"/>
      <c r="EP16" s="40"/>
      <c r="EQ16" s="34"/>
      <c r="ER16" s="38"/>
      <c r="ES16" s="39"/>
      <c r="ET16" s="40"/>
      <c r="EU16" s="34"/>
      <c r="EV16" s="38"/>
      <c r="EW16" s="39"/>
      <c r="EX16" s="40"/>
      <c r="EY16" s="34"/>
      <c r="EZ16" s="38"/>
      <c r="FA16" s="39"/>
      <c r="FB16" s="40"/>
      <c r="FC16" s="34"/>
      <c r="FD16" s="38"/>
      <c r="FE16" s="39"/>
      <c r="FF16" s="40"/>
      <c r="FG16" s="34"/>
      <c r="FH16" s="38"/>
      <c r="FI16" s="39"/>
      <c r="FJ16" s="40"/>
      <c r="FK16" s="34"/>
      <c r="FL16" s="38"/>
      <c r="FM16" s="39"/>
      <c r="FN16" s="40"/>
      <c r="FO16" s="34"/>
      <c r="FP16" s="38"/>
      <c r="FQ16" s="39"/>
      <c r="FR16" s="40"/>
      <c r="FS16" s="34"/>
      <c r="FT16" s="38"/>
      <c r="FU16" s="39"/>
      <c r="FV16" s="40"/>
      <c r="FW16" s="34"/>
      <c r="FX16" s="38"/>
      <c r="FY16" s="39"/>
      <c r="FZ16" s="40"/>
      <c r="GA16" s="34"/>
      <c r="GB16" s="38"/>
      <c r="GC16" s="39"/>
      <c r="GD16" s="40"/>
      <c r="GE16" s="34"/>
      <c r="GF16" s="38"/>
      <c r="GG16" s="39"/>
      <c r="GH16" s="40"/>
      <c r="GI16" s="34"/>
      <c r="GJ16" s="38"/>
      <c r="GK16" s="39"/>
      <c r="GL16" s="40"/>
      <c r="GM16" s="34"/>
      <c r="GN16" s="38"/>
      <c r="GO16" s="39"/>
      <c r="GP16" s="40"/>
      <c r="GQ16" s="34"/>
      <c r="GR16" s="38"/>
      <c r="GS16" s="39"/>
      <c r="GT16" s="40"/>
      <c r="GU16" s="34"/>
      <c r="GV16" s="38"/>
      <c r="GW16" s="39"/>
      <c r="GX16" s="40"/>
      <c r="GY16" s="34"/>
      <c r="GZ16" s="38"/>
      <c r="HA16" s="39"/>
      <c r="HB16" s="40"/>
      <c r="HC16" s="34"/>
      <c r="HD16" s="38"/>
      <c r="HE16" s="39"/>
      <c r="HF16" s="40"/>
      <c r="HG16" s="34"/>
      <c r="HH16" s="38"/>
      <c r="HI16" s="39"/>
      <c r="HJ16" s="40"/>
      <c r="HK16" s="34"/>
      <c r="HL16" s="38"/>
      <c r="HM16" s="39"/>
      <c r="HN16" s="40"/>
      <c r="HO16" s="34"/>
      <c r="HP16" s="38"/>
      <c r="HQ16" s="39"/>
      <c r="HR16" s="40"/>
      <c r="HS16" s="34"/>
    </row>
    <row r="17" spans="1:227" x14ac:dyDescent="0.2">
      <c r="A17" s="43" t="s">
        <v>1572</v>
      </c>
      <c r="B17" s="39" t="s">
        <v>1573</v>
      </c>
      <c r="C17" s="34">
        <f t="shared" si="0"/>
        <v>9130999</v>
      </c>
      <c r="D17" s="41">
        <v>4387780</v>
      </c>
      <c r="E17" s="41">
        <v>127145</v>
      </c>
      <c r="F17" s="41">
        <v>918065</v>
      </c>
      <c r="G17" s="41">
        <v>3698009</v>
      </c>
      <c r="H17" s="34"/>
      <c r="I17" s="59"/>
      <c r="J17" s="40"/>
      <c r="K17" s="34"/>
      <c r="L17" s="38"/>
      <c r="M17" s="39"/>
      <c r="N17" s="40"/>
      <c r="O17" s="34"/>
      <c r="P17" s="38"/>
      <c r="Q17" s="39"/>
      <c r="R17" s="40"/>
      <c r="S17" s="34"/>
      <c r="T17" s="38"/>
      <c r="U17" s="39"/>
      <c r="V17" s="40"/>
      <c r="W17" s="34"/>
      <c r="X17" s="38"/>
      <c r="Y17" s="39"/>
      <c r="Z17" s="40"/>
      <c r="AA17" s="34"/>
      <c r="AB17" s="38"/>
      <c r="AC17" s="39"/>
      <c r="AD17" s="40"/>
      <c r="AE17" s="34"/>
      <c r="AF17" s="38"/>
      <c r="AG17" s="39"/>
      <c r="AH17" s="40"/>
      <c r="AI17" s="34"/>
      <c r="AJ17" s="38"/>
      <c r="AK17" s="39"/>
      <c r="AL17" s="40"/>
      <c r="AM17" s="34"/>
      <c r="AN17" s="38"/>
      <c r="AO17" s="39"/>
      <c r="AP17" s="40"/>
      <c r="AQ17" s="34"/>
      <c r="AR17" s="38"/>
      <c r="AS17" s="39"/>
      <c r="AT17" s="40"/>
      <c r="AU17" s="34"/>
      <c r="AV17" s="38"/>
      <c r="AW17" s="39"/>
      <c r="AX17" s="40"/>
      <c r="AY17" s="34"/>
      <c r="AZ17" s="38"/>
      <c r="BA17" s="39"/>
      <c r="BB17" s="40"/>
      <c r="BC17" s="34"/>
      <c r="BD17" s="38"/>
      <c r="BE17" s="39"/>
      <c r="BF17" s="40"/>
      <c r="BG17" s="34"/>
      <c r="BH17" s="38"/>
      <c r="BI17" s="39"/>
      <c r="BJ17" s="40"/>
      <c r="BK17" s="34"/>
      <c r="BL17" s="38"/>
      <c r="BM17" s="39"/>
      <c r="BN17" s="40"/>
      <c r="BO17" s="34"/>
      <c r="BP17" s="38"/>
      <c r="BQ17" s="39"/>
      <c r="BR17" s="40"/>
      <c r="BS17" s="34"/>
      <c r="BT17" s="38"/>
      <c r="BU17" s="39"/>
      <c r="BV17" s="40"/>
      <c r="BW17" s="34"/>
      <c r="BX17" s="38"/>
      <c r="BY17" s="39"/>
      <c r="BZ17" s="40"/>
      <c r="CA17" s="34"/>
      <c r="CB17" s="38"/>
      <c r="CC17" s="39"/>
      <c r="CD17" s="40"/>
      <c r="CE17" s="34"/>
      <c r="CF17" s="38"/>
      <c r="CG17" s="39"/>
      <c r="CH17" s="40"/>
      <c r="CI17" s="34"/>
      <c r="CJ17" s="38"/>
      <c r="CK17" s="39"/>
      <c r="CL17" s="40"/>
      <c r="CM17" s="34"/>
      <c r="CN17" s="38"/>
      <c r="CO17" s="39"/>
      <c r="CP17" s="40"/>
      <c r="CQ17" s="34"/>
      <c r="CR17" s="38"/>
      <c r="CS17" s="39"/>
      <c r="CT17" s="40"/>
      <c r="CU17" s="34"/>
      <c r="CV17" s="38"/>
      <c r="CW17" s="39"/>
      <c r="CX17" s="40"/>
      <c r="CY17" s="34"/>
      <c r="CZ17" s="38"/>
      <c r="DA17" s="39"/>
      <c r="DB17" s="40"/>
      <c r="DC17" s="34"/>
      <c r="DD17" s="38"/>
      <c r="DE17" s="39"/>
      <c r="DF17" s="40"/>
      <c r="DG17" s="34"/>
      <c r="DH17" s="38"/>
      <c r="DI17" s="39"/>
      <c r="DJ17" s="40"/>
      <c r="DK17" s="34"/>
      <c r="DL17" s="38"/>
      <c r="DM17" s="39"/>
      <c r="DN17" s="40"/>
      <c r="DO17" s="34"/>
      <c r="DP17" s="38"/>
      <c r="DQ17" s="39"/>
      <c r="DR17" s="40"/>
      <c r="DS17" s="34"/>
      <c r="DT17" s="38"/>
      <c r="DU17" s="39"/>
      <c r="DV17" s="40"/>
      <c r="DW17" s="34"/>
      <c r="DX17" s="38"/>
      <c r="DY17" s="39"/>
      <c r="DZ17" s="40"/>
      <c r="EA17" s="34"/>
      <c r="EB17" s="38"/>
      <c r="EC17" s="39"/>
      <c r="ED17" s="40"/>
      <c r="EE17" s="34"/>
      <c r="EF17" s="38"/>
      <c r="EG17" s="39"/>
      <c r="EH17" s="40"/>
      <c r="EI17" s="34"/>
      <c r="EJ17" s="38"/>
      <c r="EK17" s="39"/>
      <c r="EL17" s="40"/>
      <c r="EM17" s="34"/>
      <c r="EN17" s="38"/>
      <c r="EO17" s="39"/>
      <c r="EP17" s="40"/>
      <c r="EQ17" s="34"/>
      <c r="ER17" s="38"/>
      <c r="ES17" s="39"/>
      <c r="ET17" s="40"/>
      <c r="EU17" s="34"/>
      <c r="EV17" s="38"/>
      <c r="EW17" s="39"/>
      <c r="EX17" s="40"/>
      <c r="EY17" s="34"/>
      <c r="EZ17" s="38"/>
      <c r="FA17" s="39"/>
      <c r="FB17" s="40"/>
      <c r="FC17" s="34"/>
      <c r="FD17" s="38"/>
      <c r="FE17" s="39"/>
      <c r="FF17" s="40"/>
      <c r="FG17" s="34"/>
      <c r="FH17" s="38"/>
      <c r="FI17" s="39"/>
      <c r="FJ17" s="40"/>
      <c r="FK17" s="34"/>
      <c r="FL17" s="38"/>
      <c r="FM17" s="39"/>
      <c r="FN17" s="40"/>
      <c r="FO17" s="34"/>
      <c r="FP17" s="38"/>
      <c r="FQ17" s="39"/>
      <c r="FR17" s="40"/>
      <c r="FS17" s="34"/>
      <c r="FT17" s="38"/>
      <c r="FU17" s="39"/>
      <c r="FV17" s="40"/>
      <c r="FW17" s="34"/>
      <c r="FX17" s="38"/>
      <c r="FY17" s="39"/>
      <c r="FZ17" s="40"/>
      <c r="GA17" s="34"/>
      <c r="GB17" s="38"/>
      <c r="GC17" s="39"/>
      <c r="GD17" s="40"/>
      <c r="GE17" s="34"/>
      <c r="GF17" s="38"/>
      <c r="GG17" s="39"/>
      <c r="GH17" s="40"/>
      <c r="GI17" s="34"/>
      <c r="GJ17" s="38"/>
      <c r="GK17" s="39"/>
      <c r="GL17" s="40"/>
      <c r="GM17" s="34"/>
      <c r="GN17" s="38"/>
      <c r="GO17" s="39"/>
      <c r="GP17" s="40"/>
      <c r="GQ17" s="34"/>
      <c r="GR17" s="38"/>
      <c r="GS17" s="39"/>
      <c r="GT17" s="40"/>
      <c r="GU17" s="34"/>
      <c r="GV17" s="38"/>
      <c r="GW17" s="39"/>
      <c r="GX17" s="40"/>
      <c r="GY17" s="34"/>
      <c r="GZ17" s="38"/>
      <c r="HA17" s="39"/>
      <c r="HB17" s="40"/>
      <c r="HC17" s="34"/>
      <c r="HD17" s="38"/>
      <c r="HE17" s="39"/>
      <c r="HF17" s="40"/>
      <c r="HG17" s="34"/>
      <c r="HH17" s="38"/>
      <c r="HI17" s="39"/>
      <c r="HJ17" s="40"/>
      <c r="HK17" s="34"/>
      <c r="HL17" s="38"/>
      <c r="HM17" s="39"/>
      <c r="HN17" s="40"/>
      <c r="HO17" s="34"/>
      <c r="HP17" s="38"/>
      <c r="HQ17" s="39"/>
      <c r="HR17" s="40"/>
      <c r="HS17" s="34"/>
    </row>
    <row r="18" spans="1:227" x14ac:dyDescent="0.2">
      <c r="A18" s="43" t="s">
        <v>1574</v>
      </c>
      <c r="B18" s="39" t="s">
        <v>1653</v>
      </c>
      <c r="C18" s="34">
        <f t="shared" si="0"/>
        <v>366880</v>
      </c>
      <c r="D18" s="41">
        <v>152400</v>
      </c>
      <c r="E18" s="41">
        <v>0</v>
      </c>
      <c r="F18" s="41">
        <v>144480</v>
      </c>
      <c r="G18" s="41">
        <v>70000</v>
      </c>
      <c r="H18" s="34"/>
      <c r="I18" s="59"/>
      <c r="J18" s="40"/>
      <c r="K18" s="34"/>
      <c r="L18" s="38"/>
      <c r="M18" s="39"/>
      <c r="N18" s="40"/>
      <c r="O18" s="34"/>
      <c r="P18" s="38"/>
      <c r="Q18" s="39"/>
      <c r="R18" s="40"/>
      <c r="S18" s="34"/>
      <c r="T18" s="38"/>
      <c r="U18" s="39"/>
      <c r="V18" s="40"/>
      <c r="W18" s="34"/>
      <c r="X18" s="38"/>
      <c r="Y18" s="39"/>
      <c r="Z18" s="40"/>
      <c r="AA18" s="34"/>
      <c r="AB18" s="38"/>
      <c r="AC18" s="39"/>
      <c r="AD18" s="40"/>
      <c r="AE18" s="34"/>
      <c r="AF18" s="38"/>
      <c r="AG18" s="39"/>
      <c r="AH18" s="40"/>
      <c r="AI18" s="34"/>
      <c r="AJ18" s="38"/>
      <c r="AK18" s="39"/>
      <c r="AL18" s="40"/>
      <c r="AM18" s="34"/>
      <c r="AN18" s="38"/>
      <c r="AO18" s="39"/>
      <c r="AP18" s="40"/>
      <c r="AQ18" s="34"/>
      <c r="AR18" s="38"/>
      <c r="AS18" s="39"/>
      <c r="AT18" s="40"/>
      <c r="AU18" s="34"/>
      <c r="AV18" s="38"/>
      <c r="AW18" s="39"/>
      <c r="AX18" s="40"/>
      <c r="AY18" s="34"/>
      <c r="AZ18" s="38"/>
      <c r="BA18" s="39"/>
      <c r="BB18" s="40"/>
      <c r="BC18" s="34"/>
      <c r="BD18" s="38"/>
      <c r="BE18" s="39"/>
      <c r="BF18" s="40"/>
      <c r="BG18" s="34"/>
      <c r="BH18" s="38"/>
      <c r="BI18" s="39"/>
      <c r="BJ18" s="40"/>
      <c r="BK18" s="34"/>
      <c r="BL18" s="38"/>
      <c r="BM18" s="39"/>
      <c r="BN18" s="40"/>
      <c r="BO18" s="34"/>
      <c r="BP18" s="38"/>
      <c r="BQ18" s="39"/>
      <c r="BR18" s="40"/>
      <c r="BS18" s="34"/>
      <c r="BT18" s="38"/>
      <c r="BU18" s="39"/>
      <c r="BV18" s="40"/>
      <c r="BW18" s="34"/>
      <c r="BX18" s="38"/>
      <c r="BY18" s="39"/>
      <c r="BZ18" s="40"/>
      <c r="CA18" s="34"/>
      <c r="CB18" s="38"/>
      <c r="CC18" s="39"/>
      <c r="CD18" s="40"/>
      <c r="CE18" s="34"/>
      <c r="CF18" s="38"/>
      <c r="CG18" s="39"/>
      <c r="CH18" s="40"/>
      <c r="CI18" s="34"/>
      <c r="CJ18" s="38"/>
      <c r="CK18" s="39"/>
      <c r="CL18" s="40"/>
      <c r="CM18" s="34"/>
      <c r="CN18" s="38"/>
      <c r="CO18" s="39"/>
      <c r="CP18" s="40"/>
      <c r="CQ18" s="34"/>
      <c r="CR18" s="38"/>
      <c r="CS18" s="39"/>
      <c r="CT18" s="40"/>
      <c r="CU18" s="34"/>
      <c r="CV18" s="38"/>
      <c r="CW18" s="39"/>
      <c r="CX18" s="40"/>
      <c r="CY18" s="34"/>
      <c r="CZ18" s="38"/>
      <c r="DA18" s="39"/>
      <c r="DB18" s="40"/>
      <c r="DC18" s="34"/>
      <c r="DD18" s="38"/>
      <c r="DE18" s="39"/>
      <c r="DF18" s="40"/>
      <c r="DG18" s="34"/>
      <c r="DH18" s="38"/>
      <c r="DI18" s="39"/>
      <c r="DJ18" s="40"/>
      <c r="DK18" s="34"/>
      <c r="DL18" s="38"/>
      <c r="DM18" s="39"/>
      <c r="DN18" s="40"/>
      <c r="DO18" s="34"/>
      <c r="DP18" s="38"/>
      <c r="DQ18" s="39"/>
      <c r="DR18" s="40"/>
      <c r="DS18" s="34"/>
      <c r="DT18" s="38"/>
      <c r="DU18" s="39"/>
      <c r="DV18" s="40"/>
      <c r="DW18" s="34"/>
      <c r="DX18" s="38"/>
      <c r="DY18" s="39"/>
      <c r="DZ18" s="40"/>
      <c r="EA18" s="34"/>
      <c r="EB18" s="38"/>
      <c r="EC18" s="39"/>
      <c r="ED18" s="40"/>
      <c r="EE18" s="34"/>
      <c r="EF18" s="38"/>
      <c r="EG18" s="39"/>
      <c r="EH18" s="40"/>
      <c r="EI18" s="34"/>
      <c r="EJ18" s="38"/>
      <c r="EK18" s="39"/>
      <c r="EL18" s="40"/>
      <c r="EM18" s="34"/>
      <c r="EN18" s="38"/>
      <c r="EO18" s="39"/>
      <c r="EP18" s="40"/>
      <c r="EQ18" s="34"/>
      <c r="ER18" s="38"/>
      <c r="ES18" s="39"/>
      <c r="ET18" s="40"/>
      <c r="EU18" s="34"/>
      <c r="EV18" s="38"/>
      <c r="EW18" s="39"/>
      <c r="EX18" s="40"/>
      <c r="EY18" s="34"/>
      <c r="EZ18" s="38"/>
      <c r="FA18" s="39"/>
      <c r="FB18" s="40"/>
      <c r="FC18" s="34"/>
      <c r="FD18" s="38"/>
      <c r="FE18" s="39"/>
      <c r="FF18" s="40"/>
      <c r="FG18" s="34"/>
      <c r="FH18" s="38"/>
      <c r="FI18" s="39"/>
      <c r="FJ18" s="40"/>
      <c r="FK18" s="34"/>
      <c r="FL18" s="38"/>
      <c r="FM18" s="39"/>
      <c r="FN18" s="40"/>
      <c r="FO18" s="34"/>
      <c r="FP18" s="38"/>
      <c r="FQ18" s="39"/>
      <c r="FR18" s="40"/>
      <c r="FS18" s="34"/>
      <c r="FT18" s="38"/>
      <c r="FU18" s="39"/>
      <c r="FV18" s="40"/>
      <c r="FW18" s="34"/>
      <c r="FX18" s="38"/>
      <c r="FY18" s="39"/>
      <c r="FZ18" s="40"/>
      <c r="GA18" s="34"/>
      <c r="GB18" s="38"/>
      <c r="GC18" s="39"/>
      <c r="GD18" s="40"/>
      <c r="GE18" s="34"/>
      <c r="GF18" s="38"/>
      <c r="GG18" s="39"/>
      <c r="GH18" s="40"/>
      <c r="GI18" s="34"/>
      <c r="GJ18" s="38"/>
      <c r="GK18" s="39"/>
      <c r="GL18" s="40"/>
      <c r="GM18" s="34"/>
      <c r="GN18" s="38"/>
      <c r="GO18" s="39"/>
      <c r="GP18" s="40"/>
      <c r="GQ18" s="34"/>
      <c r="GR18" s="38"/>
      <c r="GS18" s="39"/>
      <c r="GT18" s="40"/>
      <c r="GU18" s="34"/>
      <c r="GV18" s="38"/>
      <c r="GW18" s="39"/>
      <c r="GX18" s="40"/>
      <c r="GY18" s="34"/>
      <c r="GZ18" s="38"/>
      <c r="HA18" s="39"/>
      <c r="HB18" s="40"/>
      <c r="HC18" s="34"/>
      <c r="HD18" s="38"/>
      <c r="HE18" s="39"/>
      <c r="HF18" s="40"/>
      <c r="HG18" s="34"/>
      <c r="HH18" s="38"/>
      <c r="HI18" s="39"/>
      <c r="HJ18" s="40"/>
      <c r="HK18" s="34"/>
      <c r="HL18" s="38"/>
      <c r="HM18" s="39"/>
      <c r="HN18" s="40"/>
      <c r="HO18" s="34"/>
      <c r="HP18" s="38"/>
      <c r="HQ18" s="39"/>
      <c r="HR18" s="40"/>
      <c r="HS18" s="34"/>
    </row>
    <row r="19" spans="1:227" x14ac:dyDescent="0.2">
      <c r="A19" s="998" t="s">
        <v>1575</v>
      </c>
      <c r="B19" s="999" t="s">
        <v>1709</v>
      </c>
      <c r="C19" s="1000">
        <f t="shared" si="0"/>
        <v>12758914.1</v>
      </c>
      <c r="D19" s="1001">
        <v>11438073.199999999</v>
      </c>
      <c r="E19" s="1001">
        <v>492002.8</v>
      </c>
      <c r="F19" s="1001">
        <v>370753.65</v>
      </c>
      <c r="G19" s="1001">
        <v>458084.45</v>
      </c>
      <c r="H19" s="34"/>
      <c r="I19" s="59"/>
      <c r="J19" s="40"/>
      <c r="K19" s="34"/>
      <c r="L19" s="38"/>
      <c r="M19" s="39"/>
      <c r="N19" s="40"/>
      <c r="O19" s="34"/>
      <c r="P19" s="38"/>
      <c r="Q19" s="39"/>
      <c r="R19" s="40"/>
      <c r="S19" s="34"/>
      <c r="T19" s="38"/>
      <c r="U19" s="39"/>
      <c r="V19" s="40"/>
      <c r="W19" s="34"/>
      <c r="X19" s="38"/>
      <c r="Y19" s="39"/>
      <c r="Z19" s="40"/>
      <c r="AA19" s="34"/>
      <c r="AB19" s="38"/>
      <c r="AC19" s="39"/>
      <c r="AD19" s="40"/>
      <c r="AE19" s="34"/>
      <c r="AF19" s="38"/>
      <c r="AG19" s="39"/>
      <c r="AH19" s="40"/>
      <c r="AI19" s="34"/>
      <c r="AJ19" s="38"/>
      <c r="AK19" s="39"/>
      <c r="AL19" s="40"/>
      <c r="AM19" s="34"/>
      <c r="AN19" s="38"/>
      <c r="AO19" s="39"/>
      <c r="AP19" s="40"/>
      <c r="AQ19" s="34"/>
      <c r="AR19" s="38"/>
      <c r="AS19" s="39"/>
      <c r="AT19" s="40"/>
      <c r="AU19" s="34"/>
      <c r="AV19" s="38"/>
      <c r="AW19" s="39"/>
      <c r="AX19" s="40"/>
      <c r="AY19" s="34"/>
      <c r="AZ19" s="38"/>
      <c r="BA19" s="39"/>
      <c r="BB19" s="40"/>
      <c r="BC19" s="34"/>
      <c r="BD19" s="38"/>
      <c r="BE19" s="39"/>
      <c r="BF19" s="40"/>
      <c r="BG19" s="34"/>
      <c r="BH19" s="38"/>
      <c r="BI19" s="39"/>
      <c r="BJ19" s="40"/>
      <c r="BK19" s="34"/>
      <c r="BL19" s="38"/>
      <c r="BM19" s="39"/>
      <c r="BN19" s="40"/>
      <c r="BO19" s="34"/>
      <c r="BP19" s="38"/>
      <c r="BQ19" s="39"/>
      <c r="BR19" s="40"/>
      <c r="BS19" s="34"/>
      <c r="BT19" s="38"/>
      <c r="BU19" s="39"/>
      <c r="BV19" s="40"/>
      <c r="BW19" s="34"/>
      <c r="BX19" s="38"/>
      <c r="BY19" s="39"/>
      <c r="BZ19" s="40"/>
      <c r="CA19" s="34"/>
      <c r="CB19" s="38"/>
      <c r="CC19" s="39"/>
      <c r="CD19" s="40"/>
      <c r="CE19" s="34"/>
      <c r="CF19" s="38"/>
      <c r="CG19" s="39"/>
      <c r="CH19" s="40"/>
      <c r="CI19" s="34"/>
      <c r="CJ19" s="38"/>
      <c r="CK19" s="39"/>
      <c r="CL19" s="40"/>
      <c r="CM19" s="34"/>
      <c r="CN19" s="38"/>
      <c r="CO19" s="39"/>
      <c r="CP19" s="40"/>
      <c r="CQ19" s="34"/>
      <c r="CR19" s="38"/>
      <c r="CS19" s="39"/>
      <c r="CT19" s="40"/>
      <c r="CU19" s="34"/>
      <c r="CV19" s="38"/>
      <c r="CW19" s="39"/>
      <c r="CX19" s="40"/>
      <c r="CY19" s="34"/>
      <c r="CZ19" s="38"/>
      <c r="DA19" s="39"/>
      <c r="DB19" s="40"/>
      <c r="DC19" s="34"/>
      <c r="DD19" s="38"/>
      <c r="DE19" s="39"/>
      <c r="DF19" s="40"/>
      <c r="DG19" s="34"/>
      <c r="DH19" s="38"/>
      <c r="DI19" s="39"/>
      <c r="DJ19" s="40"/>
      <c r="DK19" s="34"/>
      <c r="DL19" s="38"/>
      <c r="DM19" s="39"/>
      <c r="DN19" s="40"/>
      <c r="DO19" s="34"/>
      <c r="DP19" s="38"/>
      <c r="DQ19" s="39"/>
      <c r="DR19" s="40"/>
      <c r="DS19" s="34"/>
      <c r="DT19" s="38"/>
      <c r="DU19" s="39"/>
      <c r="DV19" s="40"/>
      <c r="DW19" s="34"/>
      <c r="DX19" s="38"/>
      <c r="DY19" s="39"/>
      <c r="DZ19" s="40"/>
      <c r="EA19" s="34"/>
      <c r="EB19" s="38"/>
      <c r="EC19" s="39"/>
      <c r="ED19" s="40"/>
      <c r="EE19" s="34"/>
      <c r="EF19" s="38"/>
      <c r="EG19" s="39"/>
      <c r="EH19" s="40"/>
      <c r="EI19" s="34"/>
      <c r="EJ19" s="38"/>
      <c r="EK19" s="39"/>
      <c r="EL19" s="40"/>
      <c r="EM19" s="34"/>
      <c r="EN19" s="38"/>
      <c r="EO19" s="39"/>
      <c r="EP19" s="40"/>
      <c r="EQ19" s="34"/>
      <c r="ER19" s="38"/>
      <c r="ES19" s="39"/>
      <c r="ET19" s="40"/>
      <c r="EU19" s="34"/>
      <c r="EV19" s="38"/>
      <c r="EW19" s="39"/>
      <c r="EX19" s="40"/>
      <c r="EY19" s="34"/>
      <c r="EZ19" s="38"/>
      <c r="FA19" s="39"/>
      <c r="FB19" s="40"/>
      <c r="FC19" s="34"/>
      <c r="FD19" s="38"/>
      <c r="FE19" s="39"/>
      <c r="FF19" s="40"/>
      <c r="FG19" s="34"/>
      <c r="FH19" s="38"/>
      <c r="FI19" s="39"/>
      <c r="FJ19" s="40"/>
      <c r="FK19" s="34"/>
      <c r="FL19" s="38"/>
      <c r="FM19" s="39"/>
      <c r="FN19" s="40"/>
      <c r="FO19" s="34"/>
      <c r="FP19" s="38"/>
      <c r="FQ19" s="39"/>
      <c r="FR19" s="40"/>
      <c r="FS19" s="34"/>
      <c r="FT19" s="38"/>
      <c r="FU19" s="39"/>
      <c r="FV19" s="40"/>
      <c r="FW19" s="34"/>
      <c r="FX19" s="38"/>
      <c r="FY19" s="39"/>
      <c r="FZ19" s="40"/>
      <c r="GA19" s="34"/>
      <c r="GB19" s="38"/>
      <c r="GC19" s="39"/>
      <c r="GD19" s="40"/>
      <c r="GE19" s="34"/>
      <c r="GF19" s="38"/>
      <c r="GG19" s="39"/>
      <c r="GH19" s="40"/>
      <c r="GI19" s="34"/>
      <c r="GJ19" s="38"/>
      <c r="GK19" s="39"/>
      <c r="GL19" s="40"/>
      <c r="GM19" s="34"/>
      <c r="GN19" s="38"/>
      <c r="GO19" s="39"/>
      <c r="GP19" s="40"/>
      <c r="GQ19" s="34"/>
      <c r="GR19" s="38"/>
      <c r="GS19" s="39"/>
      <c r="GT19" s="40"/>
      <c r="GU19" s="34"/>
      <c r="GV19" s="38"/>
      <c r="GW19" s="39"/>
      <c r="GX19" s="40"/>
      <c r="GY19" s="34"/>
      <c r="GZ19" s="38"/>
      <c r="HA19" s="39"/>
      <c r="HB19" s="40"/>
      <c r="HC19" s="34"/>
      <c r="HD19" s="38"/>
      <c r="HE19" s="39"/>
      <c r="HF19" s="40"/>
      <c r="HG19" s="34"/>
      <c r="HH19" s="38"/>
      <c r="HI19" s="39"/>
      <c r="HJ19" s="40"/>
      <c r="HK19" s="34"/>
      <c r="HL19" s="38"/>
      <c r="HM19" s="39"/>
      <c r="HN19" s="40"/>
      <c r="HO19" s="34"/>
      <c r="HP19" s="38"/>
      <c r="HQ19" s="39"/>
      <c r="HR19" s="40"/>
      <c r="HS19" s="34"/>
    </row>
    <row r="20" spans="1:227" x14ac:dyDescent="0.2">
      <c r="A20" s="998" t="s">
        <v>4000</v>
      </c>
      <c r="B20" s="39" t="s">
        <v>4001</v>
      </c>
      <c r="C20" s="34">
        <f t="shared" si="0"/>
        <v>680950</v>
      </c>
      <c r="D20" s="41">
        <v>680950</v>
      </c>
      <c r="E20" s="41">
        <v>0</v>
      </c>
      <c r="F20" s="41">
        <v>0</v>
      </c>
      <c r="G20" s="41">
        <v>0</v>
      </c>
      <c r="H20" s="34"/>
      <c r="I20" s="43"/>
      <c r="J20" s="40"/>
      <c r="K20" s="34"/>
      <c r="L20" s="38"/>
      <c r="M20" s="39"/>
      <c r="N20" s="40"/>
      <c r="O20" s="34"/>
      <c r="P20" s="38"/>
      <c r="Q20" s="39"/>
      <c r="R20" s="40"/>
      <c r="S20" s="34"/>
      <c r="T20" s="38"/>
      <c r="U20" s="39"/>
      <c r="V20" s="40"/>
      <c r="W20" s="34"/>
      <c r="X20" s="38"/>
      <c r="Y20" s="39"/>
      <c r="Z20" s="40"/>
      <c r="AA20" s="34"/>
      <c r="AB20" s="38"/>
      <c r="AC20" s="39"/>
      <c r="AD20" s="40"/>
      <c r="AE20" s="34"/>
      <c r="AF20" s="38"/>
      <c r="AG20" s="39"/>
      <c r="AH20" s="40"/>
      <c r="AI20" s="34"/>
      <c r="AJ20" s="38"/>
      <c r="AK20" s="39"/>
      <c r="AL20" s="40"/>
      <c r="AM20" s="34"/>
      <c r="AN20" s="38"/>
      <c r="AO20" s="39"/>
      <c r="AP20" s="40"/>
      <c r="AQ20" s="34"/>
      <c r="AR20" s="38"/>
      <c r="AS20" s="39"/>
      <c r="AT20" s="40"/>
      <c r="AU20" s="34"/>
      <c r="AV20" s="38"/>
      <c r="AW20" s="39"/>
      <c r="AX20" s="40"/>
      <c r="AY20" s="34"/>
      <c r="AZ20" s="38"/>
      <c r="BA20" s="39"/>
      <c r="BB20" s="40"/>
      <c r="BC20" s="34"/>
      <c r="BD20" s="38"/>
      <c r="BE20" s="39"/>
      <c r="BF20" s="40"/>
      <c r="BG20" s="34"/>
      <c r="BH20" s="38"/>
      <c r="BI20" s="39"/>
      <c r="BJ20" s="40"/>
      <c r="BK20" s="34"/>
      <c r="BL20" s="38"/>
      <c r="BM20" s="39"/>
      <c r="BN20" s="40"/>
      <c r="BO20" s="34"/>
      <c r="BP20" s="38"/>
      <c r="BQ20" s="39"/>
      <c r="BR20" s="40"/>
      <c r="BS20" s="34"/>
      <c r="BT20" s="38"/>
      <c r="BU20" s="39"/>
      <c r="BV20" s="40"/>
      <c r="BW20" s="34"/>
      <c r="BX20" s="38"/>
      <c r="BY20" s="39"/>
      <c r="BZ20" s="40"/>
      <c r="CA20" s="34"/>
      <c r="CB20" s="38"/>
      <c r="CC20" s="39"/>
      <c r="CD20" s="40"/>
      <c r="CE20" s="34"/>
      <c r="CF20" s="38"/>
      <c r="CG20" s="39"/>
      <c r="CH20" s="40"/>
      <c r="CI20" s="34"/>
      <c r="CJ20" s="38"/>
      <c r="CK20" s="39"/>
      <c r="CL20" s="40"/>
      <c r="CM20" s="34"/>
      <c r="CN20" s="38"/>
      <c r="CO20" s="39"/>
      <c r="CP20" s="40"/>
      <c r="CQ20" s="34"/>
      <c r="CR20" s="38"/>
      <c r="CS20" s="39"/>
      <c r="CT20" s="40"/>
      <c r="CU20" s="34"/>
      <c r="CV20" s="38"/>
      <c r="CW20" s="39"/>
      <c r="CX20" s="40"/>
      <c r="CY20" s="34"/>
      <c r="CZ20" s="38"/>
      <c r="DA20" s="39"/>
      <c r="DB20" s="40"/>
      <c r="DC20" s="34"/>
      <c r="DD20" s="38"/>
      <c r="DE20" s="39"/>
      <c r="DF20" s="40"/>
      <c r="DG20" s="34"/>
      <c r="DH20" s="38"/>
      <c r="DI20" s="39"/>
      <c r="DJ20" s="40"/>
      <c r="DK20" s="34"/>
      <c r="DL20" s="38"/>
      <c r="DM20" s="39"/>
      <c r="DN20" s="40"/>
      <c r="DO20" s="34"/>
      <c r="DP20" s="38"/>
      <c r="DQ20" s="39"/>
      <c r="DR20" s="40"/>
      <c r="DS20" s="34"/>
      <c r="DT20" s="38"/>
      <c r="DU20" s="39"/>
      <c r="DV20" s="40"/>
      <c r="DW20" s="34"/>
      <c r="DX20" s="38"/>
      <c r="DY20" s="39"/>
      <c r="DZ20" s="40"/>
      <c r="EA20" s="34"/>
      <c r="EB20" s="38"/>
      <c r="EC20" s="39"/>
      <c r="ED20" s="40"/>
      <c r="EE20" s="34"/>
      <c r="EF20" s="38"/>
      <c r="EG20" s="39"/>
      <c r="EH20" s="40"/>
      <c r="EI20" s="34"/>
      <c r="EJ20" s="38"/>
      <c r="EK20" s="39"/>
      <c r="EL20" s="40"/>
      <c r="EM20" s="34"/>
      <c r="EN20" s="38"/>
      <c r="EO20" s="39"/>
      <c r="EP20" s="40"/>
      <c r="EQ20" s="34"/>
      <c r="ER20" s="38"/>
      <c r="ES20" s="39"/>
      <c r="ET20" s="40"/>
      <c r="EU20" s="34"/>
      <c r="EV20" s="38"/>
      <c r="EW20" s="39"/>
      <c r="EX20" s="40"/>
      <c r="EY20" s="34"/>
      <c r="EZ20" s="38"/>
      <c r="FA20" s="39"/>
      <c r="FB20" s="40"/>
      <c r="FC20" s="34"/>
      <c r="FD20" s="38"/>
      <c r="FE20" s="39"/>
      <c r="FF20" s="40"/>
      <c r="FG20" s="34"/>
      <c r="FH20" s="38"/>
      <c r="FI20" s="39"/>
      <c r="FJ20" s="40"/>
      <c r="FK20" s="34"/>
      <c r="FL20" s="38"/>
      <c r="FM20" s="39"/>
      <c r="FN20" s="40"/>
      <c r="FO20" s="34"/>
      <c r="FP20" s="38"/>
      <c r="FQ20" s="39"/>
      <c r="FR20" s="40"/>
      <c r="FS20" s="34"/>
      <c r="FT20" s="38"/>
      <c r="FU20" s="39"/>
      <c r="FV20" s="40"/>
      <c r="FW20" s="34"/>
      <c r="FX20" s="38"/>
      <c r="FY20" s="39"/>
      <c r="FZ20" s="40"/>
      <c r="GA20" s="34"/>
      <c r="GB20" s="38"/>
      <c r="GC20" s="39"/>
      <c r="GD20" s="40"/>
      <c r="GE20" s="34"/>
      <c r="GF20" s="38"/>
      <c r="GG20" s="39"/>
      <c r="GH20" s="40"/>
      <c r="GI20" s="34"/>
      <c r="GJ20" s="38"/>
      <c r="GK20" s="39"/>
      <c r="GL20" s="40"/>
      <c r="GM20" s="34"/>
      <c r="GN20" s="38"/>
      <c r="GO20" s="39"/>
      <c r="GP20" s="40"/>
      <c r="GQ20" s="34"/>
      <c r="GR20" s="38"/>
      <c r="GS20" s="39"/>
      <c r="GT20" s="40"/>
      <c r="GU20" s="34"/>
      <c r="GV20" s="38"/>
      <c r="GW20" s="39"/>
      <c r="GX20" s="40"/>
      <c r="GY20" s="34"/>
      <c r="GZ20" s="38"/>
      <c r="HA20" s="39"/>
      <c r="HB20" s="40"/>
      <c r="HC20" s="34"/>
      <c r="HD20" s="38"/>
      <c r="HE20" s="39"/>
      <c r="HF20" s="40"/>
      <c r="HG20" s="34"/>
      <c r="HH20" s="38"/>
      <c r="HI20" s="39"/>
      <c r="HJ20" s="40"/>
      <c r="HK20" s="34"/>
      <c r="HL20" s="38"/>
      <c r="HM20" s="39"/>
      <c r="HN20" s="40"/>
      <c r="HO20" s="34"/>
      <c r="HP20" s="38"/>
      <c r="HQ20" s="39"/>
      <c r="HR20" s="40"/>
      <c r="HS20" s="34"/>
    </row>
    <row r="21" spans="1:227" x14ac:dyDescent="0.2">
      <c r="A21" s="998" t="s">
        <v>1576</v>
      </c>
      <c r="B21" s="999" t="s">
        <v>3036</v>
      </c>
      <c r="C21" s="1000">
        <f t="shared" si="0"/>
        <v>15132008.23</v>
      </c>
      <c r="D21" s="1001">
        <v>9266350.1999999993</v>
      </c>
      <c r="E21" s="1001">
        <v>0</v>
      </c>
      <c r="F21" s="1001">
        <v>0</v>
      </c>
      <c r="G21" s="1001">
        <v>5865658.0300000003</v>
      </c>
      <c r="H21" s="34"/>
      <c r="I21" s="43"/>
      <c r="J21" s="40"/>
      <c r="K21" s="34"/>
      <c r="L21" s="38"/>
      <c r="M21" s="39"/>
      <c r="N21" s="40"/>
      <c r="O21" s="34"/>
      <c r="P21" s="38"/>
      <c r="Q21" s="39"/>
      <c r="R21" s="40"/>
      <c r="S21" s="34"/>
      <c r="T21" s="38"/>
      <c r="U21" s="39"/>
      <c r="V21" s="40"/>
      <c r="W21" s="34"/>
      <c r="X21" s="38"/>
      <c r="Y21" s="39"/>
      <c r="Z21" s="40"/>
      <c r="AA21" s="34"/>
      <c r="AB21" s="38"/>
      <c r="AC21" s="39"/>
      <c r="AD21" s="40"/>
      <c r="AE21" s="34"/>
      <c r="AF21" s="38"/>
      <c r="AG21" s="39"/>
      <c r="AH21" s="40"/>
      <c r="AI21" s="34"/>
      <c r="AJ21" s="38"/>
      <c r="AK21" s="39"/>
      <c r="AL21" s="40"/>
      <c r="AM21" s="34"/>
      <c r="AN21" s="38"/>
      <c r="AO21" s="39"/>
      <c r="AP21" s="40"/>
      <c r="AQ21" s="34"/>
      <c r="AR21" s="38"/>
      <c r="AS21" s="39"/>
      <c r="AT21" s="40"/>
      <c r="AU21" s="34"/>
      <c r="AV21" s="38"/>
      <c r="AW21" s="39"/>
      <c r="AX21" s="40"/>
      <c r="AY21" s="34"/>
      <c r="AZ21" s="38"/>
      <c r="BA21" s="39"/>
      <c r="BB21" s="40"/>
      <c r="BC21" s="34"/>
      <c r="BD21" s="38"/>
      <c r="BE21" s="39"/>
      <c r="BF21" s="40"/>
      <c r="BG21" s="34"/>
      <c r="BH21" s="38"/>
      <c r="BI21" s="39"/>
      <c r="BJ21" s="40"/>
      <c r="BK21" s="34"/>
      <c r="BL21" s="38"/>
      <c r="BM21" s="39"/>
      <c r="BN21" s="40"/>
      <c r="BO21" s="34"/>
      <c r="BP21" s="38"/>
      <c r="BQ21" s="39"/>
      <c r="BR21" s="40"/>
      <c r="BS21" s="34"/>
      <c r="BT21" s="38"/>
      <c r="BU21" s="39"/>
      <c r="BV21" s="40"/>
      <c r="BW21" s="34"/>
      <c r="BX21" s="38"/>
      <c r="BY21" s="39"/>
      <c r="BZ21" s="40"/>
      <c r="CA21" s="34"/>
      <c r="CB21" s="38"/>
      <c r="CC21" s="39"/>
      <c r="CD21" s="40"/>
      <c r="CE21" s="34"/>
      <c r="CF21" s="38"/>
      <c r="CG21" s="39"/>
      <c r="CH21" s="40"/>
      <c r="CI21" s="34"/>
      <c r="CJ21" s="38"/>
      <c r="CK21" s="39"/>
      <c r="CL21" s="40"/>
      <c r="CM21" s="34"/>
      <c r="CN21" s="38"/>
      <c r="CO21" s="39"/>
      <c r="CP21" s="40"/>
      <c r="CQ21" s="34"/>
      <c r="CR21" s="38"/>
      <c r="CS21" s="39"/>
      <c r="CT21" s="40"/>
      <c r="CU21" s="34"/>
      <c r="CV21" s="38"/>
      <c r="CW21" s="39"/>
      <c r="CX21" s="40"/>
      <c r="CY21" s="34"/>
      <c r="CZ21" s="38"/>
      <c r="DA21" s="39"/>
      <c r="DB21" s="40"/>
      <c r="DC21" s="34"/>
      <c r="DD21" s="38"/>
      <c r="DE21" s="39"/>
      <c r="DF21" s="40"/>
      <c r="DG21" s="34"/>
      <c r="DH21" s="38"/>
      <c r="DI21" s="39"/>
      <c r="DJ21" s="40"/>
      <c r="DK21" s="34"/>
      <c r="DL21" s="38"/>
      <c r="DM21" s="39"/>
      <c r="DN21" s="40"/>
      <c r="DO21" s="34"/>
      <c r="DP21" s="38"/>
      <c r="DQ21" s="39"/>
      <c r="DR21" s="40"/>
      <c r="DS21" s="34"/>
      <c r="DT21" s="38"/>
      <c r="DU21" s="39"/>
      <c r="DV21" s="40"/>
      <c r="DW21" s="34"/>
      <c r="DX21" s="38"/>
      <c r="DY21" s="39"/>
      <c r="DZ21" s="40"/>
      <c r="EA21" s="34"/>
      <c r="EB21" s="38"/>
      <c r="EC21" s="39"/>
      <c r="ED21" s="40"/>
      <c r="EE21" s="34"/>
      <c r="EF21" s="38"/>
      <c r="EG21" s="39"/>
      <c r="EH21" s="40"/>
      <c r="EI21" s="34"/>
      <c r="EJ21" s="38"/>
      <c r="EK21" s="39"/>
      <c r="EL21" s="40"/>
      <c r="EM21" s="34"/>
      <c r="EN21" s="38"/>
      <c r="EO21" s="39"/>
      <c r="EP21" s="40"/>
      <c r="EQ21" s="34"/>
      <c r="ER21" s="38"/>
      <c r="ES21" s="39"/>
      <c r="ET21" s="40"/>
      <c r="EU21" s="34"/>
      <c r="EV21" s="38"/>
      <c r="EW21" s="39"/>
      <c r="EX21" s="40"/>
      <c r="EY21" s="34"/>
      <c r="EZ21" s="38"/>
      <c r="FA21" s="39"/>
      <c r="FB21" s="40"/>
      <c r="FC21" s="34"/>
      <c r="FD21" s="38"/>
      <c r="FE21" s="39"/>
      <c r="FF21" s="40"/>
      <c r="FG21" s="34"/>
      <c r="FH21" s="38"/>
      <c r="FI21" s="39"/>
      <c r="FJ21" s="40"/>
      <c r="FK21" s="34"/>
      <c r="FL21" s="38"/>
      <c r="FM21" s="39"/>
      <c r="FN21" s="40"/>
      <c r="FO21" s="34"/>
      <c r="FP21" s="38"/>
      <c r="FQ21" s="39"/>
      <c r="FR21" s="40"/>
      <c r="FS21" s="34"/>
      <c r="FT21" s="38"/>
      <c r="FU21" s="39"/>
      <c r="FV21" s="40"/>
      <c r="FW21" s="34"/>
      <c r="FX21" s="38"/>
      <c r="FY21" s="39"/>
      <c r="FZ21" s="40"/>
      <c r="GA21" s="34"/>
      <c r="GB21" s="38"/>
      <c r="GC21" s="39"/>
      <c r="GD21" s="40"/>
      <c r="GE21" s="34"/>
      <c r="GF21" s="38"/>
      <c r="GG21" s="39"/>
      <c r="GH21" s="40"/>
      <c r="GI21" s="34"/>
      <c r="GJ21" s="38"/>
      <c r="GK21" s="39"/>
      <c r="GL21" s="40"/>
      <c r="GM21" s="34"/>
      <c r="GN21" s="38"/>
      <c r="GO21" s="39"/>
      <c r="GP21" s="40"/>
      <c r="GQ21" s="34"/>
      <c r="GR21" s="38"/>
      <c r="GS21" s="39"/>
      <c r="GT21" s="40"/>
      <c r="GU21" s="34"/>
      <c r="GV21" s="38"/>
      <c r="GW21" s="39"/>
      <c r="GX21" s="40"/>
      <c r="GY21" s="34"/>
      <c r="GZ21" s="38"/>
      <c r="HA21" s="39"/>
      <c r="HB21" s="40"/>
      <c r="HC21" s="34"/>
      <c r="HD21" s="38"/>
      <c r="HE21" s="39"/>
      <c r="HF21" s="40"/>
      <c r="HG21" s="34"/>
      <c r="HH21" s="38"/>
      <c r="HI21" s="39"/>
      <c r="HJ21" s="40"/>
      <c r="HK21" s="34"/>
      <c r="HL21" s="38"/>
      <c r="HM21" s="39"/>
      <c r="HN21" s="40"/>
      <c r="HO21" s="34"/>
      <c r="HP21" s="38"/>
      <c r="HQ21" s="39"/>
      <c r="HR21" s="40"/>
      <c r="HS21" s="34"/>
    </row>
    <row r="22" spans="1:227" x14ac:dyDescent="0.2">
      <c r="A22" s="998" t="s">
        <v>1577</v>
      </c>
      <c r="B22" s="999" t="s">
        <v>6</v>
      </c>
      <c r="C22" s="1000">
        <f t="shared" si="0"/>
        <v>29345789.619999997</v>
      </c>
      <c r="D22" s="1001">
        <v>2903696.3</v>
      </c>
      <c r="E22" s="1001">
        <v>3830400.4</v>
      </c>
      <c r="F22" s="1001">
        <v>8729985.3499999996</v>
      </c>
      <c r="G22" s="1001">
        <v>13881707.57</v>
      </c>
      <c r="H22" s="34"/>
      <c r="I22" s="43"/>
      <c r="J22" s="40"/>
      <c r="K22" s="34"/>
      <c r="L22" s="38"/>
      <c r="M22" s="39"/>
      <c r="N22" s="40"/>
      <c r="O22" s="34"/>
      <c r="P22" s="38"/>
      <c r="Q22" s="39"/>
      <c r="R22" s="40"/>
      <c r="S22" s="34"/>
      <c r="T22" s="38"/>
      <c r="U22" s="39"/>
      <c r="V22" s="40"/>
      <c r="W22" s="34"/>
      <c r="X22" s="38"/>
      <c r="Y22" s="39"/>
      <c r="Z22" s="40"/>
      <c r="AA22" s="34"/>
      <c r="AB22" s="38"/>
      <c r="AC22" s="39"/>
      <c r="AD22" s="40"/>
      <c r="AE22" s="34"/>
      <c r="AF22" s="38"/>
      <c r="AG22" s="39"/>
      <c r="AH22" s="40"/>
      <c r="AI22" s="34"/>
      <c r="AJ22" s="38"/>
      <c r="AK22" s="39"/>
      <c r="AL22" s="40"/>
      <c r="AM22" s="34"/>
      <c r="AN22" s="38"/>
      <c r="AO22" s="39"/>
      <c r="AP22" s="40"/>
      <c r="AQ22" s="34"/>
      <c r="AR22" s="38"/>
      <c r="AS22" s="39"/>
      <c r="AT22" s="40"/>
      <c r="AU22" s="34"/>
      <c r="AV22" s="38"/>
      <c r="AW22" s="39"/>
      <c r="AX22" s="40"/>
      <c r="AY22" s="34"/>
      <c r="AZ22" s="38"/>
      <c r="BA22" s="39"/>
      <c r="BB22" s="40"/>
      <c r="BC22" s="34"/>
      <c r="BD22" s="38"/>
      <c r="BE22" s="39"/>
      <c r="BF22" s="40"/>
      <c r="BG22" s="34"/>
      <c r="BH22" s="38"/>
      <c r="BI22" s="39"/>
      <c r="BJ22" s="40"/>
      <c r="BK22" s="34"/>
      <c r="BL22" s="38"/>
      <c r="BM22" s="39"/>
      <c r="BN22" s="40"/>
      <c r="BO22" s="34"/>
      <c r="BP22" s="38"/>
      <c r="BQ22" s="39"/>
      <c r="BR22" s="40"/>
      <c r="BS22" s="34"/>
      <c r="BT22" s="38"/>
      <c r="BU22" s="39"/>
      <c r="BV22" s="40"/>
      <c r="BW22" s="34"/>
      <c r="BX22" s="38"/>
      <c r="BY22" s="39"/>
      <c r="BZ22" s="40"/>
      <c r="CA22" s="34"/>
      <c r="CB22" s="38"/>
      <c r="CC22" s="39"/>
      <c r="CD22" s="40"/>
      <c r="CE22" s="34"/>
      <c r="CF22" s="38"/>
      <c r="CG22" s="39"/>
      <c r="CH22" s="40"/>
      <c r="CI22" s="34"/>
      <c r="CJ22" s="38"/>
      <c r="CK22" s="39"/>
      <c r="CL22" s="40"/>
      <c r="CM22" s="34"/>
      <c r="CN22" s="38"/>
      <c r="CO22" s="39"/>
      <c r="CP22" s="40"/>
      <c r="CQ22" s="34"/>
      <c r="CR22" s="38"/>
      <c r="CS22" s="39"/>
      <c r="CT22" s="40"/>
      <c r="CU22" s="34"/>
      <c r="CV22" s="38"/>
      <c r="CW22" s="39"/>
      <c r="CX22" s="40"/>
      <c r="CY22" s="34"/>
      <c r="CZ22" s="38"/>
      <c r="DA22" s="39"/>
      <c r="DB22" s="40"/>
      <c r="DC22" s="34"/>
      <c r="DD22" s="38"/>
      <c r="DE22" s="39"/>
      <c r="DF22" s="40"/>
      <c r="DG22" s="34"/>
      <c r="DH22" s="38"/>
      <c r="DI22" s="39"/>
      <c r="DJ22" s="40"/>
      <c r="DK22" s="34"/>
      <c r="DL22" s="38"/>
      <c r="DM22" s="39"/>
      <c r="DN22" s="40"/>
      <c r="DO22" s="34"/>
      <c r="DP22" s="38"/>
      <c r="DQ22" s="39"/>
      <c r="DR22" s="40"/>
      <c r="DS22" s="34"/>
      <c r="DT22" s="38"/>
      <c r="DU22" s="39"/>
      <c r="DV22" s="40"/>
      <c r="DW22" s="34"/>
      <c r="DX22" s="38"/>
      <c r="DY22" s="39"/>
      <c r="DZ22" s="40"/>
      <c r="EA22" s="34"/>
      <c r="EB22" s="38"/>
      <c r="EC22" s="39"/>
      <c r="ED22" s="40"/>
      <c r="EE22" s="34"/>
      <c r="EF22" s="38"/>
      <c r="EG22" s="39"/>
      <c r="EH22" s="40"/>
      <c r="EI22" s="34"/>
      <c r="EJ22" s="38"/>
      <c r="EK22" s="39"/>
      <c r="EL22" s="40"/>
      <c r="EM22" s="34"/>
      <c r="EN22" s="38"/>
      <c r="EO22" s="39"/>
      <c r="EP22" s="40"/>
      <c r="EQ22" s="34"/>
      <c r="ER22" s="38"/>
      <c r="ES22" s="39"/>
      <c r="ET22" s="40"/>
      <c r="EU22" s="34"/>
      <c r="EV22" s="38"/>
      <c r="EW22" s="39"/>
      <c r="EX22" s="40"/>
      <c r="EY22" s="34"/>
      <c r="EZ22" s="38"/>
      <c r="FA22" s="39"/>
      <c r="FB22" s="40"/>
      <c r="FC22" s="34"/>
      <c r="FD22" s="38"/>
      <c r="FE22" s="39"/>
      <c r="FF22" s="40"/>
      <c r="FG22" s="34"/>
      <c r="FH22" s="38"/>
      <c r="FI22" s="39"/>
      <c r="FJ22" s="40"/>
      <c r="FK22" s="34"/>
      <c r="FL22" s="38"/>
      <c r="FM22" s="39"/>
      <c r="FN22" s="40"/>
      <c r="FO22" s="34"/>
      <c r="FP22" s="38"/>
      <c r="FQ22" s="39"/>
      <c r="FR22" s="40"/>
      <c r="FS22" s="34"/>
      <c r="FT22" s="38"/>
      <c r="FU22" s="39"/>
      <c r="FV22" s="40"/>
      <c r="FW22" s="34"/>
      <c r="FX22" s="38"/>
      <c r="FY22" s="39"/>
      <c r="FZ22" s="40"/>
      <c r="GA22" s="34"/>
      <c r="GB22" s="38"/>
      <c r="GC22" s="39"/>
      <c r="GD22" s="40"/>
      <c r="GE22" s="34"/>
      <c r="GF22" s="38"/>
      <c r="GG22" s="39"/>
      <c r="GH22" s="40"/>
      <c r="GI22" s="34"/>
      <c r="GJ22" s="38"/>
      <c r="GK22" s="39"/>
      <c r="GL22" s="40"/>
      <c r="GM22" s="34"/>
      <c r="GN22" s="38"/>
      <c r="GO22" s="39"/>
      <c r="GP22" s="40"/>
      <c r="GQ22" s="34"/>
      <c r="GR22" s="38"/>
      <c r="GS22" s="39"/>
      <c r="GT22" s="40"/>
      <c r="GU22" s="34"/>
      <c r="GV22" s="38"/>
      <c r="GW22" s="39"/>
      <c r="GX22" s="40"/>
      <c r="GY22" s="34"/>
      <c r="GZ22" s="38"/>
      <c r="HA22" s="39"/>
      <c r="HB22" s="40"/>
      <c r="HC22" s="34"/>
      <c r="HD22" s="38"/>
      <c r="HE22" s="39"/>
      <c r="HF22" s="40"/>
      <c r="HG22" s="34"/>
      <c r="HH22" s="38"/>
      <c r="HI22" s="39"/>
      <c r="HJ22" s="40"/>
      <c r="HK22" s="34"/>
      <c r="HL22" s="38"/>
      <c r="HM22" s="39"/>
      <c r="HN22" s="40"/>
      <c r="HO22" s="34"/>
      <c r="HP22" s="38"/>
      <c r="HQ22" s="39"/>
      <c r="HR22" s="40"/>
      <c r="HS22" s="34"/>
    </row>
    <row r="23" spans="1:227" x14ac:dyDescent="0.2">
      <c r="A23" s="998" t="s">
        <v>1578</v>
      </c>
      <c r="B23" s="39" t="s">
        <v>4136</v>
      </c>
      <c r="C23" s="34">
        <f t="shared" si="0"/>
        <v>19963.78</v>
      </c>
      <c r="D23" s="41">
        <v>19963.78</v>
      </c>
      <c r="E23" s="41">
        <v>0</v>
      </c>
      <c r="F23" s="41">
        <v>0</v>
      </c>
      <c r="G23" s="42">
        <v>0</v>
      </c>
      <c r="H23" s="34"/>
      <c r="I23" s="43"/>
      <c r="J23" s="40"/>
      <c r="K23" s="34"/>
      <c r="L23" s="38"/>
      <c r="M23" s="39"/>
      <c r="N23" s="40"/>
      <c r="O23" s="34"/>
      <c r="P23" s="38"/>
      <c r="Q23" s="39"/>
      <c r="R23" s="40"/>
      <c r="S23" s="34"/>
      <c r="T23" s="38"/>
      <c r="U23" s="39"/>
      <c r="V23" s="40"/>
      <c r="W23" s="34"/>
      <c r="X23" s="38"/>
      <c r="Y23" s="39"/>
      <c r="Z23" s="40"/>
      <c r="AA23" s="34"/>
      <c r="AB23" s="38"/>
      <c r="AC23" s="39"/>
      <c r="AD23" s="40"/>
      <c r="AE23" s="34"/>
      <c r="AF23" s="38"/>
      <c r="AG23" s="39"/>
      <c r="AH23" s="40"/>
      <c r="AI23" s="34"/>
      <c r="AJ23" s="38"/>
      <c r="AK23" s="39"/>
      <c r="AL23" s="40"/>
      <c r="AM23" s="34"/>
      <c r="AN23" s="38"/>
      <c r="AO23" s="39"/>
      <c r="AP23" s="40"/>
      <c r="AQ23" s="34"/>
      <c r="AR23" s="38"/>
      <c r="AS23" s="39"/>
      <c r="AT23" s="40"/>
      <c r="AU23" s="34"/>
      <c r="AV23" s="38"/>
      <c r="AW23" s="39"/>
      <c r="AX23" s="40"/>
      <c r="AY23" s="34"/>
      <c r="AZ23" s="38"/>
      <c r="BA23" s="39"/>
      <c r="BB23" s="40"/>
      <c r="BC23" s="34"/>
      <c r="BD23" s="38"/>
      <c r="BE23" s="39"/>
      <c r="BF23" s="40"/>
      <c r="BG23" s="34"/>
      <c r="BH23" s="38"/>
      <c r="BI23" s="39"/>
      <c r="BJ23" s="40"/>
      <c r="BK23" s="34"/>
      <c r="BL23" s="38"/>
      <c r="BM23" s="39"/>
      <c r="BN23" s="40"/>
      <c r="BO23" s="34"/>
      <c r="BP23" s="38"/>
      <c r="BQ23" s="39"/>
      <c r="BR23" s="40"/>
      <c r="BS23" s="34"/>
      <c r="BT23" s="38"/>
      <c r="BU23" s="39"/>
      <c r="BV23" s="40"/>
      <c r="BW23" s="34"/>
      <c r="BX23" s="38"/>
      <c r="BY23" s="39"/>
      <c r="BZ23" s="40"/>
      <c r="CA23" s="34"/>
      <c r="CB23" s="38"/>
      <c r="CC23" s="39"/>
      <c r="CD23" s="40"/>
      <c r="CE23" s="34"/>
      <c r="CF23" s="38"/>
      <c r="CG23" s="39"/>
      <c r="CH23" s="40"/>
      <c r="CI23" s="34"/>
      <c r="CJ23" s="38"/>
      <c r="CK23" s="39"/>
      <c r="CL23" s="40"/>
      <c r="CM23" s="34"/>
      <c r="CN23" s="38"/>
      <c r="CO23" s="39"/>
      <c r="CP23" s="40"/>
      <c r="CQ23" s="34"/>
      <c r="CR23" s="38"/>
      <c r="CS23" s="39"/>
      <c r="CT23" s="40"/>
      <c r="CU23" s="34"/>
      <c r="CV23" s="38"/>
      <c r="CW23" s="39"/>
      <c r="CX23" s="40"/>
      <c r="CY23" s="34"/>
      <c r="CZ23" s="38"/>
      <c r="DA23" s="39"/>
      <c r="DB23" s="40"/>
      <c r="DC23" s="34"/>
      <c r="DD23" s="38"/>
      <c r="DE23" s="39"/>
      <c r="DF23" s="40"/>
      <c r="DG23" s="34"/>
      <c r="DH23" s="38"/>
      <c r="DI23" s="39"/>
      <c r="DJ23" s="40"/>
      <c r="DK23" s="34"/>
      <c r="DL23" s="38"/>
      <c r="DM23" s="39"/>
      <c r="DN23" s="40"/>
      <c r="DO23" s="34"/>
      <c r="DP23" s="38"/>
      <c r="DQ23" s="39"/>
      <c r="DR23" s="40"/>
      <c r="DS23" s="34"/>
      <c r="DT23" s="38"/>
      <c r="DU23" s="39"/>
      <c r="DV23" s="40"/>
      <c r="DW23" s="34"/>
      <c r="DX23" s="38"/>
      <c r="DY23" s="39"/>
      <c r="DZ23" s="40"/>
      <c r="EA23" s="34"/>
      <c r="EB23" s="38"/>
      <c r="EC23" s="39"/>
      <c r="ED23" s="40"/>
      <c r="EE23" s="34"/>
      <c r="EF23" s="38"/>
      <c r="EG23" s="39"/>
      <c r="EH23" s="40"/>
      <c r="EI23" s="34"/>
      <c r="EJ23" s="38"/>
      <c r="EK23" s="39"/>
      <c r="EL23" s="40"/>
      <c r="EM23" s="34"/>
      <c r="EN23" s="38"/>
      <c r="EO23" s="39"/>
      <c r="EP23" s="40"/>
      <c r="EQ23" s="34"/>
      <c r="ER23" s="38"/>
      <c r="ES23" s="39"/>
      <c r="ET23" s="40"/>
      <c r="EU23" s="34"/>
      <c r="EV23" s="38"/>
      <c r="EW23" s="39"/>
      <c r="EX23" s="40"/>
      <c r="EY23" s="34"/>
      <c r="EZ23" s="38"/>
      <c r="FA23" s="39"/>
      <c r="FB23" s="40"/>
      <c r="FC23" s="34"/>
      <c r="FD23" s="38"/>
      <c r="FE23" s="39"/>
      <c r="FF23" s="40"/>
      <c r="FG23" s="34"/>
      <c r="FH23" s="38"/>
      <c r="FI23" s="39"/>
      <c r="FJ23" s="40"/>
      <c r="FK23" s="34"/>
      <c r="FL23" s="38"/>
      <c r="FM23" s="39"/>
      <c r="FN23" s="40"/>
      <c r="FO23" s="34"/>
      <c r="FP23" s="38"/>
      <c r="FQ23" s="39"/>
      <c r="FR23" s="40"/>
      <c r="FS23" s="34"/>
      <c r="FT23" s="38"/>
      <c r="FU23" s="39"/>
      <c r="FV23" s="40"/>
      <c r="FW23" s="34"/>
      <c r="FX23" s="38"/>
      <c r="FY23" s="39"/>
      <c r="FZ23" s="40"/>
      <c r="GA23" s="34"/>
      <c r="GB23" s="38"/>
      <c r="GC23" s="39"/>
      <c r="GD23" s="40"/>
      <c r="GE23" s="34"/>
      <c r="GF23" s="38"/>
      <c r="GG23" s="39"/>
      <c r="GH23" s="40"/>
      <c r="GI23" s="34"/>
      <c r="GJ23" s="38"/>
      <c r="GK23" s="39"/>
      <c r="GL23" s="40"/>
      <c r="GM23" s="34"/>
      <c r="GN23" s="38"/>
      <c r="GO23" s="39"/>
      <c r="GP23" s="40"/>
      <c r="GQ23" s="34"/>
      <c r="GR23" s="38"/>
      <c r="GS23" s="39"/>
      <c r="GT23" s="40"/>
      <c r="GU23" s="34"/>
      <c r="GV23" s="38"/>
      <c r="GW23" s="39"/>
      <c r="GX23" s="40"/>
      <c r="GY23" s="34"/>
      <c r="GZ23" s="38"/>
      <c r="HA23" s="39"/>
      <c r="HB23" s="40"/>
      <c r="HC23" s="34"/>
      <c r="HD23" s="38"/>
      <c r="HE23" s="39"/>
      <c r="HF23" s="40"/>
      <c r="HG23" s="34"/>
      <c r="HH23" s="38"/>
      <c r="HI23" s="39"/>
      <c r="HJ23" s="40"/>
      <c r="HK23" s="34"/>
      <c r="HL23" s="38"/>
      <c r="HM23" s="39"/>
      <c r="HN23" s="40"/>
      <c r="HO23" s="34"/>
      <c r="HP23" s="38"/>
      <c r="HQ23" s="39"/>
      <c r="HR23" s="40"/>
      <c r="HS23" s="34"/>
    </row>
    <row r="24" spans="1:227" x14ac:dyDescent="0.2">
      <c r="A24" s="998" t="s">
        <v>1710</v>
      </c>
      <c r="B24" s="999" t="s">
        <v>2273</v>
      </c>
      <c r="C24" s="1000">
        <f t="shared" si="0"/>
        <v>3599830.8</v>
      </c>
      <c r="D24" s="1001">
        <v>0</v>
      </c>
      <c r="E24" s="1001">
        <v>0</v>
      </c>
      <c r="F24" s="1001">
        <v>213605</v>
      </c>
      <c r="G24" s="1001">
        <v>3386225.8</v>
      </c>
      <c r="H24" s="34"/>
      <c r="I24" s="43"/>
      <c r="J24" s="40"/>
      <c r="K24" s="34"/>
      <c r="L24" s="38"/>
      <c r="M24" s="39"/>
      <c r="N24" s="40"/>
      <c r="O24" s="34"/>
      <c r="P24" s="38"/>
      <c r="Q24" s="39"/>
      <c r="R24" s="40"/>
      <c r="S24" s="34"/>
      <c r="T24" s="38"/>
      <c r="U24" s="39"/>
      <c r="V24" s="40"/>
      <c r="W24" s="34"/>
      <c r="X24" s="38"/>
      <c r="Y24" s="39"/>
      <c r="Z24" s="40"/>
      <c r="AA24" s="34"/>
      <c r="AB24" s="38"/>
      <c r="AC24" s="39"/>
      <c r="AD24" s="40"/>
      <c r="AE24" s="34"/>
      <c r="AF24" s="38"/>
      <c r="AG24" s="39"/>
      <c r="AH24" s="40"/>
      <c r="AI24" s="34"/>
      <c r="AJ24" s="38"/>
      <c r="AK24" s="39"/>
      <c r="AL24" s="40"/>
      <c r="AM24" s="34"/>
      <c r="AN24" s="38"/>
      <c r="AO24" s="39"/>
      <c r="AP24" s="40"/>
      <c r="AQ24" s="34"/>
      <c r="AR24" s="38"/>
      <c r="AS24" s="39"/>
      <c r="AT24" s="40"/>
      <c r="AU24" s="34"/>
      <c r="AV24" s="38"/>
      <c r="AW24" s="39"/>
      <c r="AX24" s="40"/>
      <c r="AY24" s="34"/>
      <c r="AZ24" s="38"/>
      <c r="BA24" s="39"/>
      <c r="BB24" s="40"/>
      <c r="BC24" s="34"/>
      <c r="BD24" s="38"/>
      <c r="BE24" s="39"/>
      <c r="BF24" s="40"/>
      <c r="BG24" s="34"/>
      <c r="BH24" s="38"/>
      <c r="BI24" s="39"/>
      <c r="BJ24" s="40"/>
      <c r="BK24" s="34"/>
      <c r="BL24" s="38"/>
      <c r="BM24" s="39"/>
      <c r="BN24" s="40"/>
      <c r="BO24" s="34"/>
      <c r="BP24" s="38"/>
      <c r="BQ24" s="39"/>
      <c r="BR24" s="40"/>
      <c r="BS24" s="34"/>
      <c r="BT24" s="38"/>
      <c r="BU24" s="39"/>
      <c r="BV24" s="40"/>
      <c r="BW24" s="34"/>
      <c r="BX24" s="38"/>
      <c r="BY24" s="39"/>
      <c r="BZ24" s="40"/>
      <c r="CA24" s="34"/>
      <c r="CB24" s="38"/>
      <c r="CC24" s="39"/>
      <c r="CD24" s="40"/>
      <c r="CE24" s="34"/>
      <c r="CF24" s="38"/>
      <c r="CG24" s="39"/>
      <c r="CH24" s="40"/>
      <c r="CI24" s="34"/>
      <c r="CJ24" s="38"/>
      <c r="CK24" s="39"/>
      <c r="CL24" s="40"/>
      <c r="CM24" s="34"/>
      <c r="CN24" s="38"/>
      <c r="CO24" s="39"/>
      <c r="CP24" s="40"/>
      <c r="CQ24" s="34"/>
      <c r="CR24" s="38"/>
      <c r="CS24" s="39"/>
      <c r="CT24" s="40"/>
      <c r="CU24" s="34"/>
      <c r="CV24" s="38"/>
      <c r="CW24" s="39"/>
      <c r="CX24" s="40"/>
      <c r="CY24" s="34"/>
      <c r="CZ24" s="38"/>
      <c r="DA24" s="39"/>
      <c r="DB24" s="40"/>
      <c r="DC24" s="34"/>
      <c r="DD24" s="38"/>
      <c r="DE24" s="39"/>
      <c r="DF24" s="40"/>
      <c r="DG24" s="34"/>
      <c r="DH24" s="38"/>
      <c r="DI24" s="39"/>
      <c r="DJ24" s="40"/>
      <c r="DK24" s="34"/>
      <c r="DL24" s="38"/>
      <c r="DM24" s="39"/>
      <c r="DN24" s="40"/>
      <c r="DO24" s="34"/>
      <c r="DP24" s="38"/>
      <c r="DQ24" s="39"/>
      <c r="DR24" s="40"/>
      <c r="DS24" s="34"/>
      <c r="DT24" s="38"/>
      <c r="DU24" s="39"/>
      <c r="DV24" s="40"/>
      <c r="DW24" s="34"/>
      <c r="DX24" s="38"/>
      <c r="DY24" s="39"/>
      <c r="DZ24" s="40"/>
      <c r="EA24" s="34"/>
      <c r="EB24" s="38"/>
      <c r="EC24" s="39"/>
      <c r="ED24" s="40"/>
      <c r="EE24" s="34"/>
      <c r="EF24" s="38"/>
      <c r="EG24" s="39"/>
      <c r="EH24" s="40"/>
      <c r="EI24" s="34"/>
      <c r="EJ24" s="38"/>
      <c r="EK24" s="39"/>
      <c r="EL24" s="40"/>
      <c r="EM24" s="34"/>
      <c r="EN24" s="38"/>
      <c r="EO24" s="39"/>
      <c r="EP24" s="40"/>
      <c r="EQ24" s="34"/>
      <c r="ER24" s="38"/>
      <c r="ES24" s="39"/>
      <c r="ET24" s="40"/>
      <c r="EU24" s="34"/>
      <c r="EV24" s="38"/>
      <c r="EW24" s="39"/>
      <c r="EX24" s="40"/>
      <c r="EY24" s="34"/>
      <c r="EZ24" s="38"/>
      <c r="FA24" s="39"/>
      <c r="FB24" s="40"/>
      <c r="FC24" s="34"/>
      <c r="FD24" s="38"/>
      <c r="FE24" s="39"/>
      <c r="FF24" s="40"/>
      <c r="FG24" s="34"/>
      <c r="FH24" s="38"/>
      <c r="FI24" s="39"/>
      <c r="FJ24" s="40"/>
      <c r="FK24" s="34"/>
      <c r="FL24" s="38"/>
      <c r="FM24" s="39"/>
      <c r="FN24" s="40"/>
      <c r="FO24" s="34"/>
      <c r="FP24" s="38"/>
      <c r="FQ24" s="39"/>
      <c r="FR24" s="40"/>
      <c r="FS24" s="34"/>
      <c r="FT24" s="38"/>
      <c r="FU24" s="39"/>
      <c r="FV24" s="40"/>
      <c r="FW24" s="34"/>
      <c r="FX24" s="38"/>
      <c r="FY24" s="39"/>
      <c r="FZ24" s="40"/>
      <c r="GA24" s="34"/>
      <c r="GB24" s="38"/>
      <c r="GC24" s="39"/>
      <c r="GD24" s="40"/>
      <c r="GE24" s="34"/>
      <c r="GF24" s="38"/>
      <c r="GG24" s="39"/>
      <c r="GH24" s="40"/>
      <c r="GI24" s="34"/>
      <c r="GJ24" s="38"/>
      <c r="GK24" s="39"/>
      <c r="GL24" s="40"/>
      <c r="GM24" s="34"/>
      <c r="GN24" s="38"/>
      <c r="GO24" s="39"/>
      <c r="GP24" s="40"/>
      <c r="GQ24" s="34"/>
      <c r="GR24" s="38"/>
      <c r="GS24" s="39"/>
      <c r="GT24" s="40"/>
      <c r="GU24" s="34"/>
      <c r="GV24" s="38"/>
      <c r="GW24" s="39"/>
      <c r="GX24" s="40"/>
      <c r="GY24" s="34"/>
      <c r="GZ24" s="38"/>
      <c r="HA24" s="39"/>
      <c r="HB24" s="40"/>
      <c r="HC24" s="34"/>
      <c r="HD24" s="38"/>
      <c r="HE24" s="39"/>
      <c r="HF24" s="40"/>
      <c r="HG24" s="34"/>
      <c r="HH24" s="38"/>
      <c r="HI24" s="39"/>
      <c r="HJ24" s="40"/>
      <c r="HK24" s="34"/>
      <c r="HL24" s="38"/>
      <c r="HM24" s="39"/>
      <c r="HN24" s="40"/>
      <c r="HO24" s="34"/>
      <c r="HP24" s="38"/>
      <c r="HQ24" s="39"/>
      <c r="HR24" s="40"/>
      <c r="HS24" s="34"/>
    </row>
    <row r="25" spans="1:227" x14ac:dyDescent="0.2">
      <c r="A25" s="43" t="s">
        <v>1579</v>
      </c>
      <c r="B25" s="44" t="s">
        <v>1654</v>
      </c>
      <c r="C25" s="34">
        <f t="shared" si="0"/>
        <v>4977571.78</v>
      </c>
      <c r="D25" s="41">
        <v>2113186.77</v>
      </c>
      <c r="E25" s="41">
        <v>1652276.35</v>
      </c>
      <c r="F25" s="41">
        <v>15900</v>
      </c>
      <c r="G25" s="42">
        <v>1196208.6599999999</v>
      </c>
      <c r="H25" s="34"/>
      <c r="I25" s="59"/>
    </row>
    <row r="26" spans="1:227" x14ac:dyDescent="0.2">
      <c r="A26" s="43" t="s">
        <v>1580</v>
      </c>
      <c r="B26" s="49" t="s">
        <v>3037</v>
      </c>
      <c r="C26" s="34">
        <f t="shared" si="0"/>
        <v>3827705.3</v>
      </c>
      <c r="D26" s="41">
        <v>1995785.87</v>
      </c>
      <c r="E26" s="41">
        <v>338235.06</v>
      </c>
      <c r="F26" s="41">
        <v>322183.17</v>
      </c>
      <c r="G26" s="42">
        <v>1171501.2</v>
      </c>
      <c r="H26" s="34"/>
      <c r="I26" s="59"/>
    </row>
    <row r="27" spans="1:227" x14ac:dyDescent="0.2">
      <c r="A27" s="43" t="s">
        <v>3038</v>
      </c>
      <c r="B27" s="49" t="s">
        <v>3039</v>
      </c>
      <c r="C27" s="34">
        <f t="shared" si="0"/>
        <v>7806822</v>
      </c>
      <c r="D27" s="41">
        <v>1209813</v>
      </c>
      <c r="E27" s="41">
        <v>3516438</v>
      </c>
      <c r="F27" s="41">
        <v>1670071</v>
      </c>
      <c r="G27" s="42">
        <v>1410500</v>
      </c>
      <c r="H27" s="34"/>
      <c r="I27" s="59"/>
    </row>
    <row r="28" spans="1:227" x14ac:dyDescent="0.2">
      <c r="A28" s="43" t="s">
        <v>3040</v>
      </c>
      <c r="B28" s="49" t="s">
        <v>3041</v>
      </c>
      <c r="C28" s="34">
        <f t="shared" si="0"/>
        <v>615884</v>
      </c>
      <c r="D28" s="41">
        <v>0</v>
      </c>
      <c r="E28" s="41">
        <v>538384</v>
      </c>
      <c r="F28" s="41">
        <v>77500</v>
      </c>
      <c r="G28" s="42">
        <v>0</v>
      </c>
      <c r="H28" s="34"/>
      <c r="I28" s="59"/>
    </row>
    <row r="29" spans="1:227" x14ac:dyDescent="0.2">
      <c r="A29" s="43" t="s">
        <v>3042</v>
      </c>
      <c r="B29" s="49" t="s">
        <v>3043</v>
      </c>
      <c r="C29" s="34">
        <f t="shared" si="0"/>
        <v>10540000</v>
      </c>
      <c r="D29" s="41">
        <v>0</v>
      </c>
      <c r="E29" s="41">
        <v>0</v>
      </c>
      <c r="F29" s="41">
        <v>6000000</v>
      </c>
      <c r="G29" s="42">
        <v>4540000</v>
      </c>
      <c r="H29" s="34"/>
      <c r="I29" s="59"/>
    </row>
    <row r="30" spans="1:227" x14ac:dyDescent="0.2">
      <c r="A30" s="43" t="s">
        <v>1581</v>
      </c>
      <c r="B30" s="44" t="s">
        <v>1655</v>
      </c>
      <c r="C30" s="34">
        <f t="shared" si="0"/>
        <v>88723622.939999983</v>
      </c>
      <c r="D30" s="41">
        <v>5594579.3499999996</v>
      </c>
      <c r="E30" s="41">
        <v>0</v>
      </c>
      <c r="F30" s="41">
        <v>79564343.849999994</v>
      </c>
      <c r="G30" s="42">
        <v>3564699.74</v>
      </c>
      <c r="H30" s="34"/>
      <c r="I30" s="59"/>
    </row>
    <row r="31" spans="1:227" x14ac:dyDescent="0.2">
      <c r="A31" s="43" t="s">
        <v>1582</v>
      </c>
      <c r="B31" s="39" t="s">
        <v>1656</v>
      </c>
      <c r="C31" s="34">
        <f t="shared" si="0"/>
        <v>3912487</v>
      </c>
      <c r="D31" s="41">
        <v>265375</v>
      </c>
      <c r="E31" s="41">
        <v>0</v>
      </c>
      <c r="F31" s="41">
        <v>13720</v>
      </c>
      <c r="G31" s="42">
        <v>3633392</v>
      </c>
    </row>
    <row r="32" spans="1:227" x14ac:dyDescent="0.2">
      <c r="A32" s="43" t="s">
        <v>1583</v>
      </c>
      <c r="B32" s="44" t="s">
        <v>1657</v>
      </c>
      <c r="C32" s="34">
        <f t="shared" si="0"/>
        <v>25614155.59</v>
      </c>
      <c r="D32" s="41">
        <v>0</v>
      </c>
      <c r="E32" s="41">
        <v>18692634.93</v>
      </c>
      <c r="F32" s="41">
        <v>1885300</v>
      </c>
      <c r="G32" s="42">
        <v>5036220.66</v>
      </c>
      <c r="H32" s="264"/>
    </row>
    <row r="33" spans="1:11" x14ac:dyDescent="0.2">
      <c r="A33" s="43" t="s">
        <v>1584</v>
      </c>
      <c r="B33" s="44" t="s">
        <v>1658</v>
      </c>
      <c r="C33" s="34">
        <f t="shared" si="0"/>
        <v>587007412.3900001</v>
      </c>
      <c r="D33" s="41">
        <v>218952217.83000001</v>
      </c>
      <c r="E33" s="41">
        <v>49317120</v>
      </c>
      <c r="F33" s="41">
        <v>259878532.37</v>
      </c>
      <c r="G33" s="42">
        <v>58859542.189999998</v>
      </c>
    </row>
    <row r="34" spans="1:11" x14ac:dyDescent="0.2">
      <c r="A34" s="43" t="s">
        <v>4002</v>
      </c>
      <c r="B34" s="44" t="s">
        <v>4003</v>
      </c>
      <c r="C34" s="34">
        <f t="shared" si="0"/>
        <v>4657440</v>
      </c>
      <c r="D34" s="41">
        <v>4657440</v>
      </c>
      <c r="E34" s="41">
        <v>0</v>
      </c>
      <c r="F34" s="41">
        <v>0</v>
      </c>
      <c r="G34" s="42">
        <v>0</v>
      </c>
    </row>
    <row r="35" spans="1:11" s="50" customFormat="1" x14ac:dyDescent="0.2">
      <c r="A35" s="43" t="s">
        <v>4004</v>
      </c>
      <c r="B35" s="44" t="s">
        <v>4005</v>
      </c>
      <c r="C35" s="34">
        <f t="shared" si="0"/>
        <v>1566579</v>
      </c>
      <c r="D35" s="41">
        <v>1233475</v>
      </c>
      <c r="E35" s="41">
        <v>0</v>
      </c>
      <c r="F35" s="41">
        <v>333104</v>
      </c>
      <c r="G35" s="42">
        <v>0</v>
      </c>
    </row>
    <row r="36" spans="1:11" x14ac:dyDescent="0.2">
      <c r="A36" s="43" t="s">
        <v>4006</v>
      </c>
      <c r="B36" s="44" t="s">
        <v>4007</v>
      </c>
      <c r="C36" s="34">
        <f t="shared" si="0"/>
        <v>35430</v>
      </c>
      <c r="D36" s="41">
        <v>35430</v>
      </c>
      <c r="E36" s="41">
        <v>0</v>
      </c>
      <c r="F36" s="41">
        <v>0</v>
      </c>
      <c r="G36" s="42">
        <v>0</v>
      </c>
    </row>
    <row r="37" spans="1:11" x14ac:dyDescent="0.2">
      <c r="A37" s="998" t="s">
        <v>4008</v>
      </c>
      <c r="B37" s="999" t="s">
        <v>4009</v>
      </c>
      <c r="C37" s="1000">
        <f t="shared" si="0"/>
        <v>8535980</v>
      </c>
      <c r="D37" s="1001">
        <v>7455933</v>
      </c>
      <c r="E37" s="1001">
        <v>0</v>
      </c>
      <c r="F37" s="1001">
        <v>1080047</v>
      </c>
      <c r="G37" s="1001">
        <v>0</v>
      </c>
    </row>
    <row r="38" spans="1:11" x14ac:dyDescent="0.2">
      <c r="A38" s="998" t="s">
        <v>2274</v>
      </c>
      <c r="B38" s="44" t="s">
        <v>2295</v>
      </c>
      <c r="C38" s="34">
        <f t="shared" si="0"/>
        <v>75820</v>
      </c>
      <c r="D38" s="41">
        <v>0</v>
      </c>
      <c r="E38" s="41">
        <v>0</v>
      </c>
      <c r="F38" s="41">
        <v>0</v>
      </c>
      <c r="G38" s="42">
        <v>75820</v>
      </c>
    </row>
    <row r="39" spans="1:11" ht="13.5" thickBot="1" x14ac:dyDescent="0.25">
      <c r="A39" s="1030" t="s">
        <v>2296</v>
      </c>
      <c r="B39" s="1031" t="s">
        <v>4011</v>
      </c>
      <c r="C39" s="1003">
        <f t="shared" si="0"/>
        <v>2454852127</v>
      </c>
      <c r="D39" s="1004">
        <v>957699037</v>
      </c>
      <c r="E39" s="1004">
        <v>0</v>
      </c>
      <c r="F39" s="1004">
        <v>263719175</v>
      </c>
      <c r="G39" s="1004">
        <v>1233433915</v>
      </c>
    </row>
    <row r="40" spans="1:11" ht="13.5" thickBot="1" x14ac:dyDescent="0.25">
      <c r="A40" s="1089" t="s">
        <v>4133</v>
      </c>
      <c r="B40" s="1089"/>
      <c r="C40" s="1032">
        <f>SUM(C7:C39)</f>
        <v>7616645521.9200001</v>
      </c>
      <c r="D40" s="1033">
        <f>SUM(D7:D39)</f>
        <v>1490954321.6199999</v>
      </c>
      <c r="E40" s="1033">
        <f>SUM(E7:E39)</f>
        <v>78658836.539999992</v>
      </c>
      <c r="F40" s="1033">
        <f>SUM(F7:F39)</f>
        <v>630318789.92000008</v>
      </c>
      <c r="G40" s="1033">
        <f>SUM(G7:G39)</f>
        <v>5416713573.8400002</v>
      </c>
    </row>
    <row r="42" spans="1:11" x14ac:dyDescent="0.2">
      <c r="A42" s="1002" t="s">
        <v>121</v>
      </c>
      <c r="H42" s="263"/>
      <c r="I42" s="263"/>
      <c r="J42" s="263"/>
      <c r="K42" s="263"/>
    </row>
    <row r="43" spans="1:11" x14ac:dyDescent="0.2">
      <c r="H43" s="263"/>
      <c r="I43" s="263"/>
      <c r="J43" s="263"/>
      <c r="K43" s="263"/>
    </row>
    <row r="44" spans="1:11" ht="38.25" customHeight="1" x14ac:dyDescent="0.2">
      <c r="A44" s="1087" t="s">
        <v>4012</v>
      </c>
      <c r="B44" s="1087"/>
      <c r="C44" s="1087"/>
      <c r="D44" s="1087"/>
      <c r="E44" s="1087"/>
      <c r="F44" s="1087"/>
      <c r="G44" s="1087"/>
    </row>
    <row r="45" spans="1:11" x14ac:dyDescent="0.2">
      <c r="A45" s="36"/>
      <c r="B45" s="36"/>
      <c r="C45" s="36"/>
      <c r="D45" s="36"/>
      <c r="E45" s="36"/>
      <c r="F45" s="36"/>
      <c r="G45" s="36"/>
    </row>
    <row r="46" spans="1:11" ht="38.25" customHeight="1" x14ac:dyDescent="0.2">
      <c r="A46" s="1087" t="s">
        <v>4151</v>
      </c>
      <c r="B46" s="1087"/>
      <c r="C46" s="1087"/>
      <c r="D46" s="1087"/>
      <c r="E46" s="1087"/>
      <c r="F46" s="1087"/>
      <c r="G46" s="1087"/>
    </row>
    <row r="47" spans="1:11" x14ac:dyDescent="0.2">
      <c r="A47" s="994"/>
      <c r="B47" s="994"/>
      <c r="C47" s="994"/>
      <c r="D47" s="994"/>
      <c r="E47" s="994"/>
      <c r="F47" s="994"/>
      <c r="G47" s="994"/>
    </row>
    <row r="48" spans="1:11" x14ac:dyDescent="0.2">
      <c r="H48" s="40"/>
      <c r="I48" s="59"/>
    </row>
    <row r="49" spans="8:9" x14ac:dyDescent="0.2">
      <c r="H49" s="40"/>
      <c r="I49" s="59"/>
    </row>
    <row r="50" spans="8:9" x14ac:dyDescent="0.2">
      <c r="H50" s="40"/>
      <c r="I50" s="59"/>
    </row>
    <row r="51" spans="8:9" x14ac:dyDescent="0.2">
      <c r="H51" s="40"/>
      <c r="I51" s="59"/>
    </row>
    <row r="52" spans="8:9" x14ac:dyDescent="0.2">
      <c r="H52" s="40"/>
      <c r="I52" s="59"/>
    </row>
    <row r="53" spans="8:9" s="36" customFormat="1" x14ac:dyDescent="0.2"/>
    <row r="54" spans="8:9" x14ac:dyDescent="0.2">
      <c r="H54" s="264"/>
    </row>
  </sheetData>
  <mergeCells count="7">
    <mergeCell ref="A46:G46"/>
    <mergeCell ref="A4:G4"/>
    <mergeCell ref="A1:G1"/>
    <mergeCell ref="A2:G2"/>
    <mergeCell ref="A3:G3"/>
    <mergeCell ref="A44:G44"/>
    <mergeCell ref="A40:B40"/>
  </mergeCells>
  <phoneticPr fontId="0" type="noConversion"/>
  <pageMargins left="1.6141732283464567" right="0.78740157480314965" top="0.98425196850393704" bottom="0.62992125984251968" header="0.39370078740157483" footer="0.59055118110236227"/>
  <pageSetup paperSize="9" scale="75" firstPageNumber="41" orientation="landscape" r:id="rId1"/>
  <headerFooter alignWithMargins="0">
    <oddHeader xml:space="preserve">&amp;C&amp;"Arial,Negrita"&amp;11UNIVERSIDAD DE COSTA RICA
VICERRECTORÍA DE ADMINISTRACIÓN
OFICINA DE ADMINISTRACIÓN FINANCIERA&amp;R&amp;"Arial,Negrita"
</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C16" sqref="C16"/>
    </sheetView>
  </sheetViews>
  <sheetFormatPr baseColWidth="10" defaultRowHeight="12.75" x14ac:dyDescent="0.2"/>
  <sheetData/>
  <phoneticPr fontId="0" type="noConversion"/>
  <printOptions horizontalCentered="1" verticalCentered="1"/>
  <pageMargins left="0.98425196850393704" right="0.74803149606299213" top="1.3385826771653544" bottom="0.98425196850393704" header="0" footer="0"/>
  <pageSetup paperSize="9" scale="95"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E12" sqref="E12"/>
    </sheetView>
  </sheetViews>
  <sheetFormatPr baseColWidth="10" defaultRowHeight="12.75" x14ac:dyDescent="0.2"/>
  <sheetData/>
  <pageMargins left="2.8740157480314963" right="0.70866141732283472" top="4.6850393700787407" bottom="0.74803149606299213" header="0.31496062992125984" footer="0.31496062992125984"/>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31"/>
  <sheetViews>
    <sheetView workbookViewId="0">
      <selection activeCell="A2" sqref="A2:G2"/>
    </sheetView>
  </sheetViews>
  <sheetFormatPr baseColWidth="10" defaultRowHeight="12.75" x14ac:dyDescent="0.2"/>
  <cols>
    <col min="1" max="1" width="7.5703125" bestFit="1" customWidth="1"/>
    <col min="2" max="2" width="47.140625" customWidth="1"/>
    <col min="3" max="4" width="13.7109375" bestFit="1" customWidth="1"/>
    <col min="5" max="5" width="6.7109375" bestFit="1" customWidth="1"/>
    <col min="6" max="6" width="11.7109375" bestFit="1" customWidth="1"/>
    <col min="7" max="7" width="12.7109375" bestFit="1" customWidth="1"/>
  </cols>
  <sheetData>
    <row r="1" spans="1:7" x14ac:dyDescent="0.2">
      <c r="A1" s="1088" t="s">
        <v>4103</v>
      </c>
      <c r="B1" s="1088"/>
      <c r="C1" s="1088"/>
      <c r="D1" s="1088"/>
      <c r="E1" s="1088"/>
      <c r="F1" s="1088"/>
      <c r="G1" s="1088"/>
    </row>
    <row r="2" spans="1:7" x14ac:dyDescent="0.2">
      <c r="A2" s="1088" t="s">
        <v>2297</v>
      </c>
      <c r="B2" s="1088"/>
      <c r="C2" s="1088"/>
      <c r="D2" s="1088"/>
      <c r="E2" s="1088"/>
      <c r="F2" s="1088"/>
      <c r="G2" s="1088"/>
    </row>
    <row r="3" spans="1:7" x14ac:dyDescent="0.2">
      <c r="A3" s="1088" t="s">
        <v>3548</v>
      </c>
      <c r="B3" s="1088"/>
      <c r="C3" s="1088"/>
      <c r="D3" s="1088"/>
      <c r="E3" s="1088"/>
      <c r="F3" s="1088"/>
      <c r="G3" s="1088"/>
    </row>
    <row r="4" spans="1:7" x14ac:dyDescent="0.2">
      <c r="A4" s="1088" t="s">
        <v>3534</v>
      </c>
      <c r="B4" s="1088"/>
      <c r="C4" s="1088"/>
      <c r="D4" s="1088"/>
      <c r="E4" s="1088"/>
      <c r="F4" s="1088"/>
      <c r="G4" s="1088"/>
    </row>
    <row r="5" spans="1:7" ht="13.5" thickBot="1" x14ac:dyDescent="0.25">
      <c r="A5" s="996"/>
      <c r="B5" s="996"/>
      <c r="C5" s="996"/>
      <c r="D5" s="996"/>
      <c r="E5" s="996"/>
      <c r="F5" s="996"/>
      <c r="G5" s="996"/>
    </row>
    <row r="6" spans="1:7" ht="26.25" thickBot="1" x14ac:dyDescent="0.25">
      <c r="A6" s="997" t="s">
        <v>3</v>
      </c>
      <c r="B6" s="997" t="s">
        <v>1564</v>
      </c>
      <c r="C6" s="997" t="s">
        <v>3991</v>
      </c>
      <c r="D6" s="997" t="s">
        <v>4</v>
      </c>
      <c r="E6" s="997" t="s">
        <v>5</v>
      </c>
      <c r="F6" s="997" t="s">
        <v>3033</v>
      </c>
      <c r="G6" s="997" t="s">
        <v>1565</v>
      </c>
    </row>
    <row r="7" spans="1:7" x14ac:dyDescent="0.2">
      <c r="A7" s="37"/>
      <c r="B7" s="37"/>
      <c r="C7" s="37"/>
      <c r="D7" s="37"/>
      <c r="E7" s="37"/>
      <c r="F7" s="37"/>
      <c r="G7" s="37"/>
    </row>
    <row r="8" spans="1:7" x14ac:dyDescent="0.2">
      <c r="A8" s="43" t="s">
        <v>1711</v>
      </c>
      <c r="B8" s="39" t="s">
        <v>2275</v>
      </c>
      <c r="C8" s="34">
        <f t="shared" ref="C8:C14" si="0">SUM(D8:G8)</f>
        <v>66665</v>
      </c>
      <c r="D8" s="42">
        <v>66665</v>
      </c>
      <c r="E8" s="42">
        <v>0</v>
      </c>
      <c r="F8" s="42">
        <v>0</v>
      </c>
      <c r="G8" s="42">
        <v>0</v>
      </c>
    </row>
    <row r="9" spans="1:7" x14ac:dyDescent="0.2">
      <c r="A9" s="43" t="s">
        <v>1586</v>
      </c>
      <c r="B9" s="39" t="s">
        <v>1659</v>
      </c>
      <c r="C9" s="34">
        <f t="shared" si="0"/>
        <v>883160.25</v>
      </c>
      <c r="D9" s="42">
        <v>883160.25</v>
      </c>
      <c r="E9" s="42">
        <v>0</v>
      </c>
      <c r="F9" s="42">
        <v>0</v>
      </c>
      <c r="G9" s="42">
        <v>0</v>
      </c>
    </row>
    <row r="10" spans="1:7" x14ac:dyDescent="0.2">
      <c r="A10" s="43" t="s">
        <v>1587</v>
      </c>
      <c r="B10" s="44" t="s">
        <v>1660</v>
      </c>
      <c r="C10" s="34">
        <f t="shared" si="0"/>
        <v>327695633.31999993</v>
      </c>
      <c r="D10" s="42">
        <v>284626166.89999998</v>
      </c>
      <c r="E10" s="42">
        <v>0</v>
      </c>
      <c r="F10" s="42">
        <v>2209140.9</v>
      </c>
      <c r="G10" s="42">
        <v>40860325.520000003</v>
      </c>
    </row>
    <row r="11" spans="1:7" x14ac:dyDescent="0.2">
      <c r="A11" s="43" t="s">
        <v>1588</v>
      </c>
      <c r="B11" s="44" t="s">
        <v>1661</v>
      </c>
      <c r="C11" s="34">
        <f t="shared" si="0"/>
        <v>55159164.799999997</v>
      </c>
      <c r="D11" s="42">
        <v>47981984.799999997</v>
      </c>
      <c r="E11" s="42">
        <v>0</v>
      </c>
      <c r="F11" s="42">
        <v>5134930</v>
      </c>
      <c r="G11" s="42">
        <v>2042250</v>
      </c>
    </row>
    <row r="12" spans="1:7" x14ac:dyDescent="0.2">
      <c r="A12" s="43" t="s">
        <v>1589</v>
      </c>
      <c r="B12" s="39" t="s">
        <v>1662</v>
      </c>
      <c r="C12" s="34">
        <f t="shared" si="0"/>
        <v>33466117.510000002</v>
      </c>
      <c r="D12" s="41">
        <v>0</v>
      </c>
      <c r="E12" s="41">
        <v>0</v>
      </c>
      <c r="F12" s="41">
        <v>0</v>
      </c>
      <c r="G12" s="41">
        <v>33466117.510000002</v>
      </c>
    </row>
    <row r="13" spans="1:7" x14ac:dyDescent="0.2">
      <c r="A13" s="43" t="s">
        <v>1663</v>
      </c>
      <c r="B13" s="44" t="s">
        <v>1664</v>
      </c>
      <c r="C13" s="34">
        <f t="shared" si="0"/>
        <v>18993899.329999998</v>
      </c>
      <c r="D13" s="42">
        <v>18993899.329999998</v>
      </c>
      <c r="E13" s="42">
        <v>0</v>
      </c>
      <c r="F13" s="42">
        <v>0</v>
      </c>
      <c r="G13" s="42">
        <v>0</v>
      </c>
    </row>
    <row r="14" spans="1:7" x14ac:dyDescent="0.2">
      <c r="A14" s="43" t="s">
        <v>1590</v>
      </c>
      <c r="B14" s="39" t="s">
        <v>1665</v>
      </c>
      <c r="C14" s="34">
        <f t="shared" si="0"/>
        <v>252418786.06999999</v>
      </c>
      <c r="D14" s="41">
        <v>252418786.06999999</v>
      </c>
      <c r="E14" s="41">
        <v>0</v>
      </c>
      <c r="F14" s="41">
        <v>0</v>
      </c>
      <c r="G14" s="41">
        <v>0</v>
      </c>
    </row>
    <row r="15" spans="1:7" ht="13.5" thickBot="1" x14ac:dyDescent="0.25">
      <c r="A15" s="37"/>
      <c r="B15" s="37"/>
      <c r="C15" s="997"/>
      <c r="D15" s="997"/>
      <c r="E15" s="997"/>
      <c r="F15" s="997"/>
      <c r="G15" s="997"/>
    </row>
    <row r="16" spans="1:7" x14ac:dyDescent="0.2">
      <c r="A16" s="1090" t="s">
        <v>3044</v>
      </c>
      <c r="B16" s="1090"/>
      <c r="C16" s="45">
        <f>SUM(C8:C14)</f>
        <v>688683426.27999997</v>
      </c>
      <c r="D16" s="45">
        <f>SUM(D8:D14)</f>
        <v>604970662.3499999</v>
      </c>
      <c r="E16" s="45">
        <f>SUM(E8:E14)</f>
        <v>0</v>
      </c>
      <c r="F16" s="45">
        <f>SUM(F8:F14)</f>
        <v>7344070.9000000004</v>
      </c>
      <c r="G16" s="45">
        <f>SUM(G8:G14)</f>
        <v>76368693.030000001</v>
      </c>
    </row>
    <row r="17" spans="1:7" x14ac:dyDescent="0.2">
      <c r="A17" s="35"/>
      <c r="B17" s="35"/>
      <c r="C17" s="35"/>
      <c r="D17" s="35"/>
      <c r="E17" s="35"/>
      <c r="F17" s="35"/>
      <c r="G17" s="35"/>
    </row>
    <row r="18" spans="1:7" x14ac:dyDescent="0.2">
      <c r="A18" s="35"/>
      <c r="B18" s="35"/>
      <c r="C18" s="35"/>
      <c r="D18" s="35"/>
      <c r="E18" s="35"/>
      <c r="F18" s="35"/>
      <c r="G18" s="35"/>
    </row>
    <row r="19" spans="1:7" x14ac:dyDescent="0.2">
      <c r="A19" s="35"/>
      <c r="B19" s="35"/>
      <c r="C19" s="35"/>
      <c r="D19" s="35"/>
      <c r="E19" s="35"/>
      <c r="F19" s="35"/>
      <c r="G19" s="35"/>
    </row>
    <row r="20" spans="1:7" x14ac:dyDescent="0.2">
      <c r="A20" s="35"/>
      <c r="B20" s="35"/>
      <c r="C20" s="35"/>
      <c r="D20" s="35"/>
      <c r="E20" s="35"/>
      <c r="F20" s="35"/>
      <c r="G20" s="35"/>
    </row>
    <row r="21" spans="1:7" x14ac:dyDescent="0.2">
      <c r="A21" s="35"/>
      <c r="B21" s="35"/>
      <c r="C21" s="35"/>
      <c r="D21" s="35"/>
      <c r="E21" s="35"/>
      <c r="F21" s="35"/>
      <c r="G21" s="35"/>
    </row>
    <row r="22" spans="1:7" x14ac:dyDescent="0.2">
      <c r="A22" s="35"/>
      <c r="B22" s="35"/>
      <c r="C22" s="35"/>
      <c r="D22" s="35"/>
      <c r="E22" s="35"/>
      <c r="F22" s="35"/>
      <c r="G22" s="35"/>
    </row>
    <row r="23" spans="1:7" x14ac:dyDescent="0.2">
      <c r="A23" s="35"/>
      <c r="B23" s="35"/>
      <c r="C23" s="35"/>
      <c r="D23" s="35"/>
      <c r="E23" s="35"/>
      <c r="F23" s="35"/>
      <c r="G23" s="35"/>
    </row>
    <row r="24" spans="1:7" x14ac:dyDescent="0.2">
      <c r="A24" s="35"/>
      <c r="B24" s="35"/>
      <c r="C24" s="35"/>
      <c r="D24" s="35"/>
      <c r="E24" s="35"/>
      <c r="F24" s="35"/>
      <c r="G24" s="35"/>
    </row>
    <row r="25" spans="1:7" x14ac:dyDescent="0.2">
      <c r="A25" s="35"/>
      <c r="B25" s="35"/>
      <c r="C25" s="35"/>
      <c r="D25" s="35"/>
      <c r="E25" s="35"/>
      <c r="F25" s="35"/>
      <c r="G25" s="35"/>
    </row>
    <row r="26" spans="1:7" x14ac:dyDescent="0.2">
      <c r="A26" s="35"/>
      <c r="B26" s="35"/>
      <c r="C26" s="35"/>
      <c r="D26" s="35"/>
      <c r="E26" s="35"/>
      <c r="F26" s="35"/>
      <c r="G26" s="35"/>
    </row>
    <row r="27" spans="1:7" x14ac:dyDescent="0.2">
      <c r="A27" s="35"/>
      <c r="B27" s="35"/>
      <c r="C27" s="35"/>
      <c r="D27" s="35"/>
      <c r="E27" s="35"/>
      <c r="F27" s="35"/>
      <c r="G27" s="35"/>
    </row>
    <row r="28" spans="1:7" x14ac:dyDescent="0.2">
      <c r="A28" s="35"/>
      <c r="B28" s="35"/>
      <c r="C28" s="35"/>
      <c r="D28" s="35"/>
      <c r="E28" s="35"/>
      <c r="F28" s="35"/>
      <c r="G28" s="35"/>
    </row>
    <row r="29" spans="1:7" x14ac:dyDescent="0.2">
      <c r="A29" s="35"/>
      <c r="B29" s="35"/>
      <c r="C29" s="35"/>
      <c r="D29" s="35"/>
      <c r="E29" s="35"/>
      <c r="F29" s="35"/>
      <c r="G29" s="35"/>
    </row>
    <row r="30" spans="1:7" x14ac:dyDescent="0.2">
      <c r="A30" s="35"/>
      <c r="B30" s="35"/>
      <c r="C30" s="35"/>
      <c r="D30" s="35"/>
      <c r="E30" s="35"/>
      <c r="F30" s="35"/>
      <c r="G30" s="35"/>
    </row>
    <row r="31" spans="1:7" x14ac:dyDescent="0.2">
      <c r="A31" s="35"/>
      <c r="B31" s="35"/>
      <c r="C31" s="35"/>
      <c r="D31" s="35"/>
      <c r="E31" s="35"/>
      <c r="F31" s="35"/>
      <c r="G31" s="35"/>
    </row>
  </sheetData>
  <mergeCells count="5">
    <mergeCell ref="A16:B16"/>
    <mergeCell ref="A1:G1"/>
    <mergeCell ref="A2:G2"/>
    <mergeCell ref="A3:G3"/>
    <mergeCell ref="A4:G4"/>
  </mergeCells>
  <printOptions horizontalCentered="1"/>
  <pageMargins left="1.299212598425197" right="0.70866141732283472" top="1.3385826771653544" bottom="0.74803149606299213" header="0.51181102362204722" footer="0.31496062992125984"/>
  <pageSetup scale="90" orientation="landscape" r:id="rId1"/>
  <headerFooter>
    <oddHeader>&amp;C&amp;"Arial,Negrita"UNIVERSIDAD DE COSTA RICA
VICERRECTORÍA DE ADMINISTRACIÓN
OFICINA DE ADMINISTRACIÓN FINANCIERA</oddHead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9"/>
  <sheetViews>
    <sheetView workbookViewId="0">
      <selection activeCell="D10" sqref="D10"/>
    </sheetView>
  </sheetViews>
  <sheetFormatPr baseColWidth="10" defaultRowHeight="12.75" x14ac:dyDescent="0.2"/>
  <sheetData>
    <row r="19" spans="1:1" x14ac:dyDescent="0.2">
      <c r="A19" s="2"/>
    </row>
  </sheetData>
  <phoneticPr fontId="0" type="noConversion"/>
  <printOptions horizontalCentered="1" verticalCentered="1"/>
  <pageMargins left="1.1811023622047245" right="0.74803149606299213" top="0" bottom="0.98425196850393704" header="0" footer="0"/>
  <pageSetup paperSize="9" scale="95" firstPageNumber="42"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42"/>
  <sheetViews>
    <sheetView workbookViewId="0">
      <selection activeCell="B1" sqref="B1:D1"/>
    </sheetView>
  </sheetViews>
  <sheetFormatPr baseColWidth="10" defaultColWidth="10.85546875" defaultRowHeight="15" x14ac:dyDescent="0.2"/>
  <cols>
    <col min="1" max="1" width="18.140625" style="58" customWidth="1"/>
    <col min="2" max="2" width="33.7109375" style="58" customWidth="1"/>
    <col min="3" max="3" width="17.28515625" style="58" bestFit="1" customWidth="1"/>
    <col min="4" max="4" width="28.42578125" style="58" customWidth="1"/>
    <col min="5" max="5" width="22" style="58" bestFit="1" customWidth="1"/>
    <col min="6" max="7" width="10.85546875" style="58"/>
    <col min="8" max="9" width="10.85546875" style="688"/>
    <col min="10" max="10" width="10.85546875" style="689"/>
    <col min="11" max="11" width="10.85546875" style="688"/>
    <col min="12" max="12" width="10.85546875" style="690"/>
    <col min="13" max="16384" width="10.85546875" style="58"/>
  </cols>
  <sheetData>
    <row r="1" spans="2:5" ht="15.75" x14ac:dyDescent="0.25">
      <c r="B1" s="1092" t="s">
        <v>4166</v>
      </c>
      <c r="C1" s="1092"/>
      <c r="D1" s="1092"/>
      <c r="E1" s="691"/>
    </row>
    <row r="2" spans="2:5" ht="15.75" x14ac:dyDescent="0.25">
      <c r="B2" s="1092" t="s">
        <v>4168</v>
      </c>
      <c r="C2" s="1092"/>
      <c r="D2" s="1092"/>
      <c r="E2" s="691"/>
    </row>
    <row r="3" spans="2:5" ht="15.75" x14ac:dyDescent="0.25">
      <c r="B3" s="1092" t="s">
        <v>3549</v>
      </c>
      <c r="C3" s="1092"/>
      <c r="D3" s="1092"/>
      <c r="E3" s="691"/>
    </row>
    <row r="4" spans="2:5" ht="15.75" x14ac:dyDescent="0.25">
      <c r="B4" s="1092" t="s">
        <v>3534</v>
      </c>
      <c r="C4" s="1092"/>
      <c r="D4" s="1092"/>
      <c r="E4" s="691"/>
    </row>
    <row r="5" spans="2:5" ht="15.75" x14ac:dyDescent="0.25">
      <c r="B5" s="692"/>
      <c r="C5" s="692"/>
      <c r="D5" s="692"/>
      <c r="E5" s="691"/>
    </row>
    <row r="6" spans="2:5" ht="15.75" x14ac:dyDescent="0.25">
      <c r="B6" s="693" t="s">
        <v>3600</v>
      </c>
      <c r="C6" s="693" t="s">
        <v>3540</v>
      </c>
      <c r="D6" s="693" t="s">
        <v>3550</v>
      </c>
      <c r="E6" s="694"/>
    </row>
    <row r="7" spans="2:5" ht="15.75" x14ac:dyDescent="0.25">
      <c r="B7" s="687"/>
      <c r="C7" s="687"/>
      <c r="D7" s="687"/>
      <c r="E7" s="694"/>
    </row>
    <row r="8" spans="2:5" x14ac:dyDescent="0.2">
      <c r="B8" s="1053" t="s">
        <v>3544</v>
      </c>
      <c r="C8" s="1005">
        <f>D8/$D$20</f>
        <v>0.50873213414664709</v>
      </c>
      <c r="D8" s="702">
        <v>46186264595.629997</v>
      </c>
      <c r="E8" s="691"/>
    </row>
    <row r="9" spans="2:5" x14ac:dyDescent="0.2">
      <c r="B9" s="1053"/>
      <c r="C9" s="1005"/>
      <c r="D9" s="702"/>
      <c r="E9" s="691"/>
    </row>
    <row r="10" spans="2:5" ht="15.75" x14ac:dyDescent="0.25">
      <c r="B10" s="1053" t="s">
        <v>3542</v>
      </c>
      <c r="C10" s="1005">
        <f>D10/$D$20</f>
        <v>0.45164758946205397</v>
      </c>
      <c r="D10" s="702">
        <v>41003730000</v>
      </c>
      <c r="E10" s="687"/>
    </row>
    <row r="11" spans="2:5" ht="15.75" x14ac:dyDescent="0.25">
      <c r="B11" s="1053"/>
      <c r="C11" s="1005"/>
      <c r="D11" s="702"/>
      <c r="E11" s="1026"/>
    </row>
    <row r="12" spans="2:5" x14ac:dyDescent="0.2">
      <c r="B12" s="1053" t="s">
        <v>3547</v>
      </c>
      <c r="C12" s="1005">
        <f>D12/$D$20</f>
        <v>1.7069173357218661E-2</v>
      </c>
      <c r="D12" s="702">
        <v>1549659052.75</v>
      </c>
      <c r="E12" s="691"/>
    </row>
    <row r="13" spans="2:5" x14ac:dyDescent="0.2">
      <c r="B13" s="1053"/>
      <c r="C13" s="1005"/>
      <c r="D13" s="702"/>
      <c r="E13" s="691"/>
    </row>
    <row r="14" spans="2:5" x14ac:dyDescent="0.2">
      <c r="B14" s="1053" t="s">
        <v>3545</v>
      </c>
      <c r="C14" s="1005">
        <f>D14/$D$20</f>
        <v>1.2609646105055069E-2</v>
      </c>
      <c r="D14" s="702">
        <v>1144791949.1900001</v>
      </c>
      <c r="E14" s="691"/>
    </row>
    <row r="15" spans="2:5" x14ac:dyDescent="0.2">
      <c r="B15" s="1053"/>
      <c r="C15" s="1005"/>
      <c r="D15" s="702"/>
      <c r="E15" s="691"/>
    </row>
    <row r="16" spans="2:5" x14ac:dyDescent="0.2">
      <c r="B16" s="1053" t="s">
        <v>3546</v>
      </c>
      <c r="C16" s="1005">
        <f>D16/$D$20</f>
        <v>9.9414569290251255E-3</v>
      </c>
      <c r="D16" s="702">
        <v>902555056.72000003</v>
      </c>
      <c r="E16" s="691"/>
    </row>
    <row r="17" spans="1:5" x14ac:dyDescent="0.2">
      <c r="B17" s="1053"/>
      <c r="C17" s="1005"/>
      <c r="D17" s="702"/>
      <c r="E17" s="691"/>
    </row>
    <row r="18" spans="1:5" ht="15.75" x14ac:dyDescent="0.25">
      <c r="B18" s="1053" t="s">
        <v>3543</v>
      </c>
      <c r="C18" s="1005">
        <f>D18/$D$20</f>
        <v>0</v>
      </c>
      <c r="D18" s="702">
        <v>0</v>
      </c>
      <c r="E18" s="687"/>
    </row>
    <row r="19" spans="1:5" ht="15.75" x14ac:dyDescent="0.25">
      <c r="B19" s="695"/>
      <c r="C19" s="695"/>
      <c r="D19" s="699"/>
      <c r="E19" s="691"/>
    </row>
    <row r="20" spans="1:5" ht="16.5" thickBot="1" x14ac:dyDescent="0.3">
      <c r="B20" s="695"/>
      <c r="C20" s="686">
        <f>SUM(C8:C18)</f>
        <v>1</v>
      </c>
      <c r="D20" s="700">
        <f>SUM(D8:D19)</f>
        <v>90787000654.290009</v>
      </c>
      <c r="E20" s="691"/>
    </row>
    <row r="21" spans="1:5" ht="16.5" thickTop="1" x14ac:dyDescent="0.25">
      <c r="D21" s="701"/>
      <c r="E21" s="687"/>
    </row>
    <row r="22" spans="1:5" ht="15.75" x14ac:dyDescent="0.25">
      <c r="D22" s="701"/>
      <c r="E22" s="687"/>
    </row>
    <row r="23" spans="1:5" ht="15.75" x14ac:dyDescent="0.25">
      <c r="D23" s="701"/>
      <c r="E23" s="687"/>
    </row>
    <row r="24" spans="1:5" ht="15.75" x14ac:dyDescent="0.2">
      <c r="A24" s="1093" t="s">
        <v>4166</v>
      </c>
      <c r="B24" s="1093"/>
      <c r="C24" s="1093"/>
      <c r="D24" s="1093"/>
      <c r="E24" s="1093"/>
    </row>
    <row r="25" spans="1:5" ht="15.75" x14ac:dyDescent="0.2">
      <c r="A25" s="1093" t="s">
        <v>4167</v>
      </c>
      <c r="B25" s="1093"/>
      <c r="C25" s="1093"/>
      <c r="D25" s="1093"/>
      <c r="E25" s="1093"/>
    </row>
    <row r="26" spans="1:5" ht="15.75" x14ac:dyDescent="0.2">
      <c r="A26" s="1091" t="s">
        <v>3551</v>
      </c>
      <c r="B26" s="1091"/>
      <c r="C26" s="1091"/>
      <c r="D26" s="1091"/>
      <c r="E26" s="1091"/>
    </row>
    <row r="27" spans="1:5" ht="15.75" x14ac:dyDescent="0.2">
      <c r="A27" s="1091" t="s">
        <v>3598</v>
      </c>
      <c r="B27" s="1091"/>
      <c r="C27" s="1091"/>
      <c r="D27" s="1091"/>
      <c r="E27" s="1091"/>
    </row>
    <row r="28" spans="1:5" ht="15.75" x14ac:dyDescent="0.25">
      <c r="B28" s="696"/>
      <c r="C28" s="687"/>
      <c r="D28" s="687"/>
      <c r="E28" s="697"/>
    </row>
    <row r="29" spans="1:5" ht="15.75" x14ac:dyDescent="0.25">
      <c r="A29" s="1095" t="s">
        <v>3600</v>
      </c>
      <c r="B29" s="1095"/>
      <c r="C29" s="693" t="s">
        <v>3540</v>
      </c>
      <c r="D29" s="693" t="s">
        <v>3552</v>
      </c>
      <c r="E29" s="693" t="s">
        <v>3541</v>
      </c>
    </row>
    <row r="30" spans="1:5" x14ac:dyDescent="0.2">
      <c r="D30" s="698"/>
      <c r="E30" s="698"/>
    </row>
    <row r="31" spans="1:5" x14ac:dyDescent="0.2">
      <c r="A31" s="1096" t="s">
        <v>3543</v>
      </c>
      <c r="B31" s="1096"/>
      <c r="C31" s="1005">
        <f>D31/$D$39</f>
        <v>0.59146462486453766</v>
      </c>
      <c r="D31" s="702">
        <v>2000000</v>
      </c>
      <c r="E31" s="702">
        <f>D31*567.09</f>
        <v>1134180000</v>
      </c>
    </row>
    <row r="32" spans="1:5" ht="15.75" x14ac:dyDescent="0.25">
      <c r="A32" s="1053"/>
      <c r="B32" s="1054"/>
      <c r="C32" s="695"/>
      <c r="D32" s="699"/>
      <c r="E32" s="702"/>
    </row>
    <row r="33" spans="1:5" x14ac:dyDescent="0.2">
      <c r="A33" s="1096" t="s">
        <v>3544</v>
      </c>
      <c r="B33" s="1096"/>
      <c r="C33" s="1005">
        <f>D33/$D$39</f>
        <v>0.26351404547200147</v>
      </c>
      <c r="D33" s="702">
        <v>891055.98</v>
      </c>
      <c r="E33" s="702">
        <f>D33*567.09</f>
        <v>505308935.69820005</v>
      </c>
    </row>
    <row r="34" spans="1:5" x14ac:dyDescent="0.2">
      <c r="A34" s="1053"/>
      <c r="B34" s="1053"/>
      <c r="C34" s="1005"/>
      <c r="D34" s="702"/>
      <c r="E34" s="702"/>
    </row>
    <row r="35" spans="1:5" x14ac:dyDescent="0.2">
      <c r="A35" s="1096" t="s">
        <v>3599</v>
      </c>
      <c r="B35" s="1096"/>
      <c r="C35" s="1005">
        <f>D35/$D$39</f>
        <v>0.11206048478132244</v>
      </c>
      <c r="D35" s="702">
        <v>378925.4</v>
      </c>
      <c r="E35" s="702">
        <f>D35*567.09</f>
        <v>214884805.08600003</v>
      </c>
    </row>
    <row r="36" spans="1:5" x14ac:dyDescent="0.2">
      <c r="A36" s="1053"/>
      <c r="B36" s="1053"/>
      <c r="C36" s="1005"/>
      <c r="D36" s="702"/>
      <c r="E36" s="702"/>
    </row>
    <row r="37" spans="1:5" x14ac:dyDescent="0.2">
      <c r="A37" s="1096" t="s">
        <v>3542</v>
      </c>
      <c r="B37" s="1096"/>
      <c r="C37" s="1005">
        <f>D37/$D$39</f>
        <v>3.2960844882138518E-2</v>
      </c>
      <c r="D37" s="702">
        <v>111455</v>
      </c>
      <c r="E37" s="702">
        <f>D37*567.09</f>
        <v>63205015.950000003</v>
      </c>
    </row>
    <row r="38" spans="1:5" ht="15.75" x14ac:dyDescent="0.25">
      <c r="B38" s="695"/>
      <c r="C38" s="695"/>
      <c r="D38" s="699"/>
      <c r="E38" s="702"/>
    </row>
    <row r="39" spans="1:5" ht="16.5" thickBot="1" x14ac:dyDescent="0.3">
      <c r="B39" s="695"/>
      <c r="C39" s="686">
        <f>SUM(C37:C37)</f>
        <v>3.2960844882138518E-2</v>
      </c>
      <c r="D39" s="700">
        <f>SUM(D30:D38)</f>
        <v>3381436.38</v>
      </c>
      <c r="E39" s="700">
        <f>SUM(E37:E38)+3-0.19</f>
        <v>63205018.760000005</v>
      </c>
    </row>
    <row r="40" spans="1:5" ht="15.75" thickTop="1" x14ac:dyDescent="0.2">
      <c r="D40" s="703"/>
      <c r="E40" s="703"/>
    </row>
    <row r="41" spans="1:5" ht="15.75" x14ac:dyDescent="0.25">
      <c r="A41" s="787" t="s">
        <v>121</v>
      </c>
    </row>
    <row r="42" spans="1:5" ht="31.5" customHeight="1" x14ac:dyDescent="0.2">
      <c r="A42" s="1094" t="s">
        <v>4169</v>
      </c>
      <c r="B42" s="1094"/>
      <c r="C42" s="1094"/>
      <c r="D42" s="1094"/>
      <c r="E42" s="1094"/>
    </row>
  </sheetData>
  <sortState ref="B8:D18">
    <sortCondition descending="1" ref="D8:D18"/>
  </sortState>
  <mergeCells count="14">
    <mergeCell ref="A42:E42"/>
    <mergeCell ref="A29:B29"/>
    <mergeCell ref="A37:B37"/>
    <mergeCell ref="A31:B31"/>
    <mergeCell ref="A33:B33"/>
    <mergeCell ref="A35:B35"/>
    <mergeCell ref="A27:E27"/>
    <mergeCell ref="B1:D1"/>
    <mergeCell ref="B3:D3"/>
    <mergeCell ref="B4:D4"/>
    <mergeCell ref="A24:E24"/>
    <mergeCell ref="A26:E26"/>
    <mergeCell ref="B2:D2"/>
    <mergeCell ref="A25:E25"/>
  </mergeCells>
  <phoneticPr fontId="0" type="noConversion"/>
  <printOptions horizontalCentered="1"/>
  <pageMargins left="0.74803149606299213" right="0.62992125984251968" top="1.6929133858267718" bottom="0.9055118110236221" header="0.78740157480314965" footer="0.47244094488188981"/>
  <pageSetup paperSize="9" scale="75" firstPageNumber="43" orientation="portrait" r:id="rId1"/>
  <headerFooter alignWithMargins="0">
    <oddHeader>&amp;C&amp;"Arial Negrita,Negrita"&amp;K000000UNIVERSIDAD DE COSTA RICA_x000D_VICERRECTORÍA DE ADMINISTRACIÓN_x000D_OFICINA DE ADMINISTRACIÓN FINANCIERA_x000D__x000D_&amp;R&amp;"Arial Negrita,Negrita"&amp;K000000_x000D_</oddHead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9"/>
  <sheetViews>
    <sheetView workbookViewId="0">
      <selection activeCell="J23" sqref="J23"/>
    </sheetView>
  </sheetViews>
  <sheetFormatPr baseColWidth="10" defaultRowHeight="12.75" x14ac:dyDescent="0.2"/>
  <sheetData>
    <row r="19" spans="1:1" x14ac:dyDescent="0.2">
      <c r="A19" s="2"/>
    </row>
  </sheetData>
  <phoneticPr fontId="0" type="noConversion"/>
  <printOptions horizontalCentered="1" verticalCentered="1"/>
  <pageMargins left="1.1811023622047245" right="0.74803149606299213" top="0" bottom="0.98425196850393704" header="0" footer="0"/>
  <pageSetup paperSize="9" scale="95" firstPageNumber="44"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9"/>
  <sheetViews>
    <sheetView workbookViewId="0">
      <selection activeCell="G22" sqref="G22"/>
    </sheetView>
  </sheetViews>
  <sheetFormatPr baseColWidth="10" defaultRowHeight="12.75" x14ac:dyDescent="0.2"/>
  <sheetData>
    <row r="19" spans="1:1" x14ac:dyDescent="0.2">
      <c r="A19" s="2"/>
    </row>
  </sheetData>
  <phoneticPr fontId="0" type="noConversion"/>
  <printOptions horizontalCentered="1" verticalCentered="1"/>
  <pageMargins left="0.98425196850393704" right="0.75" top="1.55" bottom="1" header="0" footer="0"/>
  <pageSetup paperSize="9" scale="95" firstPageNumber="45"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B21" sqref="B21"/>
    </sheetView>
  </sheetViews>
  <sheetFormatPr baseColWidth="10" defaultRowHeight="12.75" x14ac:dyDescent="0.2"/>
  <sheetData/>
  <phoneticPr fontId="0" type="noConversion"/>
  <printOptions horizontalCentered="1" verticalCentered="1"/>
  <pageMargins left="1.1811023622047245" right="0.74803149606299213" top="0" bottom="0.98425196850393704" header="0" footer="0"/>
  <pageSetup paperSize="9" scale="95"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F49"/>
  <sheetViews>
    <sheetView topLeftCell="A25" workbookViewId="0">
      <selection activeCell="B50" sqref="B50"/>
    </sheetView>
  </sheetViews>
  <sheetFormatPr baseColWidth="10" defaultColWidth="10.85546875" defaultRowHeight="12.75" x14ac:dyDescent="0.2"/>
  <cols>
    <col min="1" max="1" width="52.85546875" style="17" customWidth="1"/>
    <col min="2" max="2" width="2" style="17" bestFit="1" customWidth="1"/>
    <col min="3" max="3" width="23.7109375" style="17" customWidth="1"/>
    <col min="4" max="4" width="3.140625" style="17" customWidth="1"/>
    <col min="5" max="5" width="7.85546875" style="17" bestFit="1" customWidth="1"/>
    <col min="6" max="16384" width="10.85546875" style="17"/>
  </cols>
  <sheetData>
    <row r="1" spans="1:6" ht="15" x14ac:dyDescent="0.25">
      <c r="A1" s="1098" t="s">
        <v>4104</v>
      </c>
      <c r="B1" s="1098"/>
      <c r="C1" s="1098"/>
      <c r="D1" s="1098"/>
      <c r="E1" s="1098"/>
      <c r="F1" s="5"/>
    </row>
    <row r="2" spans="1:6" ht="15" x14ac:dyDescent="0.25">
      <c r="A2" s="1070" t="s">
        <v>2252</v>
      </c>
      <c r="B2" s="1070"/>
      <c r="C2" s="1070"/>
      <c r="D2" s="1070"/>
      <c r="E2" s="1070"/>
      <c r="F2" s="5"/>
    </row>
    <row r="3" spans="1:6" ht="15" x14ac:dyDescent="0.25">
      <c r="A3" s="1070" t="s">
        <v>2253</v>
      </c>
      <c r="B3" s="1070"/>
      <c r="C3" s="1070"/>
      <c r="D3" s="1070"/>
      <c r="E3" s="1070"/>
      <c r="F3" s="5"/>
    </row>
    <row r="4" spans="1:6" ht="15" x14ac:dyDescent="0.25">
      <c r="A4" s="1069" t="s">
        <v>3548</v>
      </c>
      <c r="B4" s="1069"/>
      <c r="C4" s="1069"/>
      <c r="D4" s="1069"/>
      <c r="E4" s="1069"/>
      <c r="F4" s="5"/>
    </row>
    <row r="5" spans="1:6" ht="15" x14ac:dyDescent="0.25">
      <c r="A5" s="1069" t="s">
        <v>3534</v>
      </c>
      <c r="B5" s="1069"/>
      <c r="C5" s="1069"/>
      <c r="D5" s="1069"/>
      <c r="E5" s="1069"/>
      <c r="F5" s="5"/>
    </row>
    <row r="6" spans="1:6" ht="15" x14ac:dyDescent="0.25">
      <c r="A6" s="306"/>
      <c r="B6" s="308"/>
      <c r="C6" s="309"/>
      <c r="D6" s="310"/>
      <c r="E6" s="307"/>
      <c r="F6" s="5"/>
    </row>
    <row r="7" spans="1:6" ht="15" x14ac:dyDescent="0.25">
      <c r="A7" s="1097" t="s">
        <v>3377</v>
      </c>
      <c r="B7" s="1097"/>
      <c r="C7" s="1097"/>
      <c r="D7" s="1097"/>
      <c r="E7" s="1097"/>
      <c r="F7" s="5"/>
    </row>
    <row r="8" spans="1:6" ht="15" x14ac:dyDescent="0.25">
      <c r="A8" s="416"/>
      <c r="B8" s="416"/>
      <c r="C8" s="416"/>
      <c r="D8" s="1059"/>
      <c r="E8" s="306"/>
      <c r="F8" s="5"/>
    </row>
    <row r="9" spans="1:6" ht="15" x14ac:dyDescent="0.25">
      <c r="A9" s="306"/>
      <c r="B9" s="308"/>
      <c r="C9" s="309"/>
      <c r="D9" s="310"/>
      <c r="E9" s="307"/>
      <c r="F9" s="5"/>
    </row>
    <row r="10" spans="1:6" ht="14.25" x14ac:dyDescent="0.2">
      <c r="A10" s="307" t="s">
        <v>3384</v>
      </c>
      <c r="B10" s="308"/>
      <c r="C10" s="305">
        <v>29460841922.872162</v>
      </c>
      <c r="D10" s="233"/>
      <c r="E10" s="307"/>
      <c r="F10" s="5"/>
    </row>
    <row r="11" spans="1:6" ht="14.25" x14ac:dyDescent="0.2">
      <c r="A11" s="307"/>
      <c r="B11" s="308"/>
      <c r="C11" s="311"/>
      <c r="D11" s="233"/>
      <c r="E11" s="307"/>
      <c r="F11" s="5"/>
    </row>
    <row r="12" spans="1:6" ht="15" thickBot="1" x14ac:dyDescent="0.25">
      <c r="A12" s="307" t="s">
        <v>3385</v>
      </c>
      <c r="B12" s="308"/>
      <c r="C12" s="312">
        <v>7627498972.9200001</v>
      </c>
      <c r="D12" s="1060" t="s">
        <v>3387</v>
      </c>
      <c r="E12" s="307"/>
      <c r="F12" s="5"/>
    </row>
    <row r="13" spans="1:6" ht="14.25" x14ac:dyDescent="0.2">
      <c r="A13" s="307"/>
      <c r="B13" s="308"/>
      <c r="C13" s="311"/>
      <c r="D13" s="233"/>
      <c r="E13" s="307"/>
      <c r="F13" s="5"/>
    </row>
    <row r="14" spans="1:6" ht="15" x14ac:dyDescent="0.25">
      <c r="A14" s="306" t="s">
        <v>3553</v>
      </c>
      <c r="B14" s="705"/>
      <c r="C14" s="313">
        <f>C10-C12</f>
        <v>21833342949.952164</v>
      </c>
      <c r="E14" s="307"/>
      <c r="F14" s="5"/>
    </row>
    <row r="15" spans="1:6" ht="14.25" x14ac:dyDescent="0.2">
      <c r="A15" s="307"/>
      <c r="B15" s="308"/>
      <c r="C15" s="311"/>
      <c r="D15" s="233"/>
      <c r="E15" s="307"/>
      <c r="F15" s="5"/>
    </row>
    <row r="16" spans="1:6" ht="14.25" x14ac:dyDescent="0.2">
      <c r="A16" s="307"/>
      <c r="B16" s="308"/>
      <c r="C16" s="309"/>
      <c r="D16" s="233"/>
      <c r="E16" s="307"/>
      <c r="F16" s="5"/>
    </row>
    <row r="17" spans="1:6" ht="14.25" x14ac:dyDescent="0.2">
      <c r="A17" s="307"/>
      <c r="B17" s="308"/>
      <c r="C17" s="309"/>
      <c r="D17" s="310"/>
      <c r="E17" s="307"/>
      <c r="F17" s="5"/>
    </row>
    <row r="18" spans="1:6" ht="15" x14ac:dyDescent="0.25">
      <c r="A18" s="1097" t="s">
        <v>3376</v>
      </c>
      <c r="B18" s="1097"/>
      <c r="C18" s="1097"/>
      <c r="D18" s="1097"/>
      <c r="E18" s="1097"/>
      <c r="F18" s="5"/>
    </row>
    <row r="19" spans="1:6" ht="15" x14ac:dyDescent="0.25">
      <c r="A19" s="416"/>
      <c r="B19" s="416"/>
      <c r="C19" s="416"/>
      <c r="D19" s="1059"/>
      <c r="E19" s="307"/>
      <c r="F19" s="5"/>
    </row>
    <row r="20" spans="1:6" ht="15" x14ac:dyDescent="0.25">
      <c r="A20" s="416"/>
      <c r="B20" s="416"/>
      <c r="C20" s="416"/>
      <c r="D20" s="1059"/>
      <c r="E20" s="307"/>
      <c r="F20" s="5"/>
    </row>
    <row r="21" spans="1:6" ht="45" x14ac:dyDescent="0.25">
      <c r="A21" s="306" t="s">
        <v>2691</v>
      </c>
      <c r="B21" s="308"/>
      <c r="C21" s="309"/>
      <c r="D21" s="233"/>
      <c r="E21" s="707" t="s">
        <v>4165</v>
      </c>
      <c r="F21" s="5"/>
    </row>
    <row r="22" spans="1:6" ht="15" x14ac:dyDescent="0.25">
      <c r="A22" s="306"/>
      <c r="B22" s="308"/>
      <c r="C22" s="309"/>
      <c r="D22" s="310"/>
      <c r="E22" s="307"/>
      <c r="F22" s="5"/>
    </row>
    <row r="23" spans="1:6" ht="14.25" x14ac:dyDescent="0.2">
      <c r="A23" s="307" t="s">
        <v>523</v>
      </c>
      <c r="B23" s="314"/>
      <c r="C23" s="305">
        <v>39855222464.690002</v>
      </c>
      <c r="D23" s="310"/>
      <c r="E23" s="307"/>
      <c r="F23" s="5"/>
    </row>
    <row r="24" spans="1:6" ht="15.75" thickBot="1" x14ac:dyDescent="0.3">
      <c r="A24" s="307" t="s">
        <v>1023</v>
      </c>
      <c r="B24" s="308"/>
      <c r="C24" s="312">
        <f>C10</f>
        <v>29460841922.872162</v>
      </c>
      <c r="D24" s="233"/>
      <c r="E24" s="708">
        <f>C24/C23</f>
        <v>0.73919652434441152</v>
      </c>
      <c r="F24" s="5"/>
    </row>
    <row r="25" spans="1:6" ht="14.25" x14ac:dyDescent="0.2">
      <c r="A25" s="307"/>
      <c r="B25" s="308"/>
      <c r="C25" s="309"/>
      <c r="D25" s="310"/>
      <c r="E25" s="307"/>
      <c r="F25" s="5"/>
    </row>
    <row r="26" spans="1:6" ht="15" x14ac:dyDescent="0.25">
      <c r="A26" s="11" t="s">
        <v>387</v>
      </c>
      <c r="B26" s="705"/>
      <c r="C26" s="315">
        <f>C23-C24</f>
        <v>10394380541.817841</v>
      </c>
      <c r="D26" s="310"/>
      <c r="E26" s="307"/>
      <c r="F26" s="5"/>
    </row>
    <row r="27" spans="1:6" ht="14.25" x14ac:dyDescent="0.2">
      <c r="A27" s="307"/>
      <c r="B27" s="308"/>
      <c r="C27" s="309"/>
      <c r="D27" s="310"/>
      <c r="E27" s="307"/>
      <c r="F27" s="5"/>
    </row>
    <row r="28" spans="1:6" ht="14.25" x14ac:dyDescent="0.2">
      <c r="A28" s="307"/>
      <c r="B28" s="308"/>
      <c r="C28" s="309"/>
      <c r="D28" s="310"/>
      <c r="E28" s="307"/>
      <c r="F28" s="5"/>
    </row>
    <row r="29" spans="1:6" ht="45" x14ac:dyDescent="0.25">
      <c r="A29" s="14" t="s">
        <v>2692</v>
      </c>
      <c r="B29" s="308"/>
      <c r="C29" s="309"/>
      <c r="D29" s="233"/>
      <c r="E29" s="707" t="s">
        <v>4165</v>
      </c>
      <c r="F29" s="5"/>
    </row>
    <row r="30" spans="1:6" ht="14.25" x14ac:dyDescent="0.2">
      <c r="A30" s="307"/>
      <c r="B30" s="308"/>
      <c r="C30" s="309"/>
      <c r="D30" s="233"/>
      <c r="E30" s="307"/>
      <c r="F30" s="5"/>
    </row>
    <row r="31" spans="1:6" ht="14.25" x14ac:dyDescent="0.2">
      <c r="A31" s="307" t="s">
        <v>523</v>
      </c>
      <c r="B31" s="314"/>
      <c r="C31" s="305">
        <f>C23</f>
        <v>39855222464.690002</v>
      </c>
      <c r="D31" s="233"/>
      <c r="E31" s="307"/>
      <c r="F31" s="5"/>
    </row>
    <row r="32" spans="1:6" ht="15.75" thickBot="1" x14ac:dyDescent="0.3">
      <c r="A32" s="307" t="s">
        <v>1023</v>
      </c>
      <c r="B32" s="308"/>
      <c r="C32" s="312">
        <f>C12</f>
        <v>7627498972.9200001</v>
      </c>
      <c r="D32" s="1060" t="s">
        <v>3387</v>
      </c>
      <c r="E32" s="708">
        <f>C32/C31</f>
        <v>0.19138016303077052</v>
      </c>
      <c r="F32" s="5"/>
    </row>
    <row r="33" spans="1:6" ht="14.25" x14ac:dyDescent="0.2">
      <c r="A33" s="307"/>
      <c r="B33" s="308"/>
      <c r="C33" s="309"/>
      <c r="D33" s="233"/>
      <c r="E33" s="307"/>
      <c r="F33" s="5"/>
    </row>
    <row r="34" spans="1:6" ht="15" x14ac:dyDescent="0.25">
      <c r="A34" s="11" t="s">
        <v>1170</v>
      </c>
      <c r="B34" s="705"/>
      <c r="C34" s="315">
        <f>C31-C32</f>
        <v>32227723491.770004</v>
      </c>
      <c r="D34" s="233"/>
      <c r="E34" s="307"/>
      <c r="F34" s="5"/>
    </row>
    <row r="35" spans="1:6" ht="15" x14ac:dyDescent="0.25">
      <c r="A35" s="11"/>
      <c r="B35" s="705"/>
      <c r="C35" s="315"/>
      <c r="D35" s="233"/>
      <c r="E35" s="307"/>
      <c r="F35" s="5"/>
    </row>
    <row r="36" spans="1:6" ht="15" x14ac:dyDescent="0.25">
      <c r="A36" s="11"/>
      <c r="B36" s="705"/>
      <c r="C36" s="315"/>
      <c r="D36" s="233"/>
      <c r="E36" s="307"/>
      <c r="F36" s="5"/>
    </row>
    <row r="37" spans="1:6" ht="14.25" x14ac:dyDescent="0.2">
      <c r="A37" s="307"/>
      <c r="B37" s="308"/>
      <c r="C37" s="309"/>
      <c r="D37" s="233"/>
      <c r="E37" s="307"/>
      <c r="F37" s="5"/>
    </row>
    <row r="38" spans="1:6" ht="14.25" x14ac:dyDescent="0.2">
      <c r="A38" s="307"/>
      <c r="B38" s="308"/>
      <c r="C38" s="309"/>
      <c r="D38" s="233"/>
      <c r="E38" s="307"/>
      <c r="F38" s="5"/>
    </row>
    <row r="39" spans="1:6" ht="30" x14ac:dyDescent="0.25">
      <c r="A39" s="1057" t="s">
        <v>2272</v>
      </c>
      <c r="B39" s="705"/>
      <c r="C39" s="1058">
        <f>C34-C26</f>
        <v>21833342949.952164</v>
      </c>
      <c r="D39" s="233"/>
      <c r="E39" s="307"/>
      <c r="F39" s="5"/>
    </row>
    <row r="40" spans="1:6" ht="14.25" x14ac:dyDescent="0.2">
      <c r="A40" s="5"/>
      <c r="B40" s="308"/>
      <c r="C40" s="309"/>
      <c r="D40" s="233"/>
      <c r="E40" s="307"/>
      <c r="F40" s="5"/>
    </row>
    <row r="41" spans="1:6" ht="14.25" x14ac:dyDescent="0.2">
      <c r="A41" s="5" t="s">
        <v>1712</v>
      </c>
      <c r="B41" s="308"/>
      <c r="C41" s="311">
        <v>9482836548.5400009</v>
      </c>
      <c r="D41" s="233"/>
      <c r="E41" s="307"/>
      <c r="F41" s="5"/>
    </row>
    <row r="42" spans="1:6" ht="15" x14ac:dyDescent="0.25">
      <c r="A42" s="11"/>
      <c r="B42" s="308"/>
      <c r="C42" s="311"/>
      <c r="D42" s="233"/>
      <c r="E42" s="307"/>
      <c r="F42" s="5"/>
    </row>
    <row r="43" spans="1:6" ht="15.75" thickBot="1" x14ac:dyDescent="0.3">
      <c r="A43" s="11" t="s">
        <v>3388</v>
      </c>
      <c r="B43" s="705"/>
      <c r="C43" s="706">
        <f>C39-C41</f>
        <v>12350506401.412163</v>
      </c>
      <c r="D43" s="233"/>
      <c r="E43" s="307"/>
      <c r="F43" s="5"/>
    </row>
    <row r="44" spans="1:6" ht="15" thickTop="1" x14ac:dyDescent="0.2">
      <c r="A44" s="307"/>
      <c r="B44" s="308"/>
      <c r="C44" s="309"/>
      <c r="D44" s="233"/>
      <c r="E44" s="307"/>
      <c r="F44" s="5"/>
    </row>
    <row r="45" spans="1:6" ht="14.25" x14ac:dyDescent="0.2">
      <c r="A45" s="307"/>
      <c r="B45" s="308"/>
      <c r="C45" s="309"/>
      <c r="D45" s="233"/>
      <c r="E45" s="307"/>
      <c r="F45" s="5"/>
    </row>
    <row r="46" spans="1:6" ht="15" x14ac:dyDescent="0.25">
      <c r="A46" s="11" t="s">
        <v>3425</v>
      </c>
      <c r="B46" s="308"/>
      <c r="C46" s="309"/>
      <c r="D46" s="233"/>
      <c r="E46" s="307"/>
      <c r="F46" s="5"/>
    </row>
    <row r="47" spans="1:6" ht="54.75" customHeight="1" x14ac:dyDescent="0.2">
      <c r="A47" s="1094" t="s">
        <v>4191</v>
      </c>
      <c r="B47" s="1094"/>
      <c r="C47" s="1094"/>
      <c r="D47" s="233"/>
      <c r="E47" s="307"/>
      <c r="F47" s="5"/>
    </row>
    <row r="48" spans="1:6" ht="14.25" x14ac:dyDescent="0.2">
      <c r="A48" s="5"/>
      <c r="B48" s="308"/>
      <c r="C48" s="309"/>
      <c r="D48" s="233"/>
      <c r="E48" s="307"/>
      <c r="F48" s="5"/>
    </row>
    <row r="49" spans="1:6" ht="14.25" x14ac:dyDescent="0.2">
      <c r="A49" s="5"/>
      <c r="B49" s="5"/>
      <c r="C49" s="5"/>
      <c r="E49" s="5"/>
      <c r="F49" s="5"/>
    </row>
  </sheetData>
  <mergeCells count="8">
    <mergeCell ref="A47:C47"/>
    <mergeCell ref="A18:E18"/>
    <mergeCell ref="A5:E5"/>
    <mergeCell ref="A1:E1"/>
    <mergeCell ref="A2:E2"/>
    <mergeCell ref="A3:E3"/>
    <mergeCell ref="A4:E4"/>
    <mergeCell ref="A7:E7"/>
  </mergeCells>
  <phoneticPr fontId="0" type="noConversion"/>
  <pageMargins left="1.5748031496062993" right="0.39370078740157483" top="1.7322834645669292" bottom="1.1811023622047245" header="0.94488188976377963" footer="0.94488188976377963"/>
  <pageSetup scale="74" firstPageNumber="48" orientation="portrait" r:id="rId1"/>
  <headerFooter alignWithMargins="0">
    <oddHeader xml:space="preserve">&amp;C&amp;"Arial,Negrita"UNIVERSIDAD DE COSTA RICA
VICERRECTORÍA DE ADMINISTRACIÓN
OFICINA DE ADMINISTRACIÓN FINANCIERA
&amp;R&amp;"Arial,Negrita"
</oddHeader>
    <oddFooter>&amp;C&amp;P</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R238"/>
  <sheetViews>
    <sheetView topLeftCell="C198" workbookViewId="0">
      <selection activeCell="K219" sqref="K219"/>
    </sheetView>
  </sheetViews>
  <sheetFormatPr baseColWidth="10" defaultColWidth="10.7109375" defaultRowHeight="15" x14ac:dyDescent="0.25"/>
  <cols>
    <col min="1" max="1" width="13.7109375" style="1" customWidth="1"/>
    <col min="2" max="2" width="78.7109375" style="178" customWidth="1"/>
    <col min="3" max="3" width="18" style="178" customWidth="1"/>
    <col min="4" max="4" width="17.85546875" style="178" customWidth="1"/>
    <col min="5" max="5" width="19.7109375" style="178" customWidth="1"/>
    <col min="6" max="6" width="2.42578125" style="178" customWidth="1"/>
    <col min="7" max="7" width="19.42578125" style="178" customWidth="1"/>
    <col min="8" max="8" width="18.85546875" style="178" customWidth="1"/>
    <col min="9" max="9" width="20.28515625" style="178" customWidth="1"/>
    <col min="10" max="10" width="18.85546875" style="178" customWidth="1"/>
    <col min="11" max="11" width="16.7109375" style="178" customWidth="1"/>
    <col min="12" max="12" width="19.140625" style="178" customWidth="1"/>
    <col min="13" max="13" width="16.140625" style="714" customWidth="1"/>
    <col min="14" max="14" width="15.85546875" style="222" bestFit="1" customWidth="1"/>
    <col min="15" max="15" width="16.42578125" style="222" bestFit="1" customWidth="1"/>
    <col min="16" max="16" width="13.28515625" style="223" customWidth="1"/>
    <col min="17" max="17" width="16" style="222" customWidth="1"/>
    <col min="18" max="18" width="10.7109375" style="740"/>
    <col min="19" max="256" width="10.7109375" style="178"/>
    <col min="257" max="257" width="13.7109375" style="178" customWidth="1"/>
    <col min="258" max="258" width="78.7109375" style="178" customWidth="1"/>
    <col min="259" max="259" width="18" style="178" customWidth="1"/>
    <col min="260" max="260" width="17.85546875" style="178" customWidth="1"/>
    <col min="261" max="261" width="19.7109375" style="178" customWidth="1"/>
    <col min="262" max="262" width="2.42578125" style="178" customWidth="1"/>
    <col min="263" max="263" width="19.42578125" style="178" customWidth="1"/>
    <col min="264" max="264" width="18.85546875" style="178" customWidth="1"/>
    <col min="265" max="265" width="20.28515625" style="178" customWidth="1"/>
    <col min="266" max="266" width="18.85546875" style="178" customWidth="1"/>
    <col min="267" max="267" width="16.7109375" style="178" customWidth="1"/>
    <col min="268" max="268" width="19.140625" style="178" customWidth="1"/>
    <col min="269" max="269" width="16.140625" style="178" customWidth="1"/>
    <col min="270" max="270" width="15.85546875" style="178" bestFit="1" customWidth="1"/>
    <col min="271" max="271" width="16.42578125" style="178" bestFit="1" customWidth="1"/>
    <col min="272" max="272" width="13.28515625" style="178" customWidth="1"/>
    <col min="273" max="273" width="16" style="178" customWidth="1"/>
    <col min="274" max="512" width="10.7109375" style="178"/>
    <col min="513" max="513" width="13.7109375" style="178" customWidth="1"/>
    <col min="514" max="514" width="78.7109375" style="178" customWidth="1"/>
    <col min="515" max="515" width="18" style="178" customWidth="1"/>
    <col min="516" max="516" width="17.85546875" style="178" customWidth="1"/>
    <col min="517" max="517" width="19.7109375" style="178" customWidth="1"/>
    <col min="518" max="518" width="2.42578125" style="178" customWidth="1"/>
    <col min="519" max="519" width="19.42578125" style="178" customWidth="1"/>
    <col min="520" max="520" width="18.85546875" style="178" customWidth="1"/>
    <col min="521" max="521" width="20.28515625" style="178" customWidth="1"/>
    <col min="522" max="522" width="18.85546875" style="178" customWidth="1"/>
    <col min="523" max="523" width="16.7109375" style="178" customWidth="1"/>
    <col min="524" max="524" width="19.140625" style="178" customWidth="1"/>
    <col min="525" max="525" width="16.140625" style="178" customWidth="1"/>
    <col min="526" max="526" width="15.85546875" style="178" bestFit="1" customWidth="1"/>
    <col min="527" max="527" width="16.42578125" style="178" bestFit="1" customWidth="1"/>
    <col min="528" max="528" width="13.28515625" style="178" customWidth="1"/>
    <col min="529" max="529" width="16" style="178" customWidth="1"/>
    <col min="530" max="768" width="10.7109375" style="178"/>
    <col min="769" max="769" width="13.7109375" style="178" customWidth="1"/>
    <col min="770" max="770" width="78.7109375" style="178" customWidth="1"/>
    <col min="771" max="771" width="18" style="178" customWidth="1"/>
    <col min="772" max="772" width="17.85546875" style="178" customWidth="1"/>
    <col min="773" max="773" width="19.7109375" style="178" customWidth="1"/>
    <col min="774" max="774" width="2.42578125" style="178" customWidth="1"/>
    <col min="775" max="775" width="19.42578125" style="178" customWidth="1"/>
    <col min="776" max="776" width="18.85546875" style="178" customWidth="1"/>
    <col min="777" max="777" width="20.28515625" style="178" customWidth="1"/>
    <col min="778" max="778" width="18.85546875" style="178" customWidth="1"/>
    <col min="779" max="779" width="16.7109375" style="178" customWidth="1"/>
    <col min="780" max="780" width="19.140625" style="178" customWidth="1"/>
    <col min="781" max="781" width="16.140625" style="178" customWidth="1"/>
    <col min="782" max="782" width="15.85546875" style="178" bestFit="1" customWidth="1"/>
    <col min="783" max="783" width="16.42578125" style="178" bestFit="1" customWidth="1"/>
    <col min="784" max="784" width="13.28515625" style="178" customWidth="1"/>
    <col min="785" max="785" width="16" style="178" customWidth="1"/>
    <col min="786" max="1024" width="10.7109375" style="178"/>
    <col min="1025" max="1025" width="13.7109375" style="178" customWidth="1"/>
    <col min="1026" max="1026" width="78.7109375" style="178" customWidth="1"/>
    <col min="1027" max="1027" width="18" style="178" customWidth="1"/>
    <col min="1028" max="1028" width="17.85546875" style="178" customWidth="1"/>
    <col min="1029" max="1029" width="19.7109375" style="178" customWidth="1"/>
    <col min="1030" max="1030" width="2.42578125" style="178" customWidth="1"/>
    <col min="1031" max="1031" width="19.42578125" style="178" customWidth="1"/>
    <col min="1032" max="1032" width="18.85546875" style="178" customWidth="1"/>
    <col min="1033" max="1033" width="20.28515625" style="178" customWidth="1"/>
    <col min="1034" max="1034" width="18.85546875" style="178" customWidth="1"/>
    <col min="1035" max="1035" width="16.7109375" style="178" customWidth="1"/>
    <col min="1036" max="1036" width="19.140625" style="178" customWidth="1"/>
    <col min="1037" max="1037" width="16.140625" style="178" customWidth="1"/>
    <col min="1038" max="1038" width="15.85546875" style="178" bestFit="1" customWidth="1"/>
    <col min="1039" max="1039" width="16.42578125" style="178" bestFit="1" customWidth="1"/>
    <col min="1040" max="1040" width="13.28515625" style="178" customWidth="1"/>
    <col min="1041" max="1041" width="16" style="178" customWidth="1"/>
    <col min="1042" max="1280" width="10.7109375" style="178"/>
    <col min="1281" max="1281" width="13.7109375" style="178" customWidth="1"/>
    <col min="1282" max="1282" width="78.7109375" style="178" customWidth="1"/>
    <col min="1283" max="1283" width="18" style="178" customWidth="1"/>
    <col min="1284" max="1284" width="17.85546875" style="178" customWidth="1"/>
    <col min="1285" max="1285" width="19.7109375" style="178" customWidth="1"/>
    <col min="1286" max="1286" width="2.42578125" style="178" customWidth="1"/>
    <col min="1287" max="1287" width="19.42578125" style="178" customWidth="1"/>
    <col min="1288" max="1288" width="18.85546875" style="178" customWidth="1"/>
    <col min="1289" max="1289" width="20.28515625" style="178" customWidth="1"/>
    <col min="1290" max="1290" width="18.85546875" style="178" customWidth="1"/>
    <col min="1291" max="1291" width="16.7109375" style="178" customWidth="1"/>
    <col min="1292" max="1292" width="19.140625" style="178" customWidth="1"/>
    <col min="1293" max="1293" width="16.140625" style="178" customWidth="1"/>
    <col min="1294" max="1294" width="15.85546875" style="178" bestFit="1" customWidth="1"/>
    <col min="1295" max="1295" width="16.42578125" style="178" bestFit="1" customWidth="1"/>
    <col min="1296" max="1296" width="13.28515625" style="178" customWidth="1"/>
    <col min="1297" max="1297" width="16" style="178" customWidth="1"/>
    <col min="1298" max="1536" width="10.7109375" style="178"/>
    <col min="1537" max="1537" width="13.7109375" style="178" customWidth="1"/>
    <col min="1538" max="1538" width="78.7109375" style="178" customWidth="1"/>
    <col min="1539" max="1539" width="18" style="178" customWidth="1"/>
    <col min="1540" max="1540" width="17.85546875" style="178" customWidth="1"/>
    <col min="1541" max="1541" width="19.7109375" style="178" customWidth="1"/>
    <col min="1542" max="1542" width="2.42578125" style="178" customWidth="1"/>
    <col min="1543" max="1543" width="19.42578125" style="178" customWidth="1"/>
    <col min="1544" max="1544" width="18.85546875" style="178" customWidth="1"/>
    <col min="1545" max="1545" width="20.28515625" style="178" customWidth="1"/>
    <col min="1546" max="1546" width="18.85546875" style="178" customWidth="1"/>
    <col min="1547" max="1547" width="16.7109375" style="178" customWidth="1"/>
    <col min="1548" max="1548" width="19.140625" style="178" customWidth="1"/>
    <col min="1549" max="1549" width="16.140625" style="178" customWidth="1"/>
    <col min="1550" max="1550" width="15.85546875" style="178" bestFit="1" customWidth="1"/>
    <col min="1551" max="1551" width="16.42578125" style="178" bestFit="1" customWidth="1"/>
    <col min="1552" max="1552" width="13.28515625" style="178" customWidth="1"/>
    <col min="1553" max="1553" width="16" style="178" customWidth="1"/>
    <col min="1554" max="1792" width="10.7109375" style="178"/>
    <col min="1793" max="1793" width="13.7109375" style="178" customWidth="1"/>
    <col min="1794" max="1794" width="78.7109375" style="178" customWidth="1"/>
    <col min="1795" max="1795" width="18" style="178" customWidth="1"/>
    <col min="1796" max="1796" width="17.85546875" style="178" customWidth="1"/>
    <col min="1797" max="1797" width="19.7109375" style="178" customWidth="1"/>
    <col min="1798" max="1798" width="2.42578125" style="178" customWidth="1"/>
    <col min="1799" max="1799" width="19.42578125" style="178" customWidth="1"/>
    <col min="1800" max="1800" width="18.85546875" style="178" customWidth="1"/>
    <col min="1801" max="1801" width="20.28515625" style="178" customWidth="1"/>
    <col min="1802" max="1802" width="18.85546875" style="178" customWidth="1"/>
    <col min="1803" max="1803" width="16.7109375" style="178" customWidth="1"/>
    <col min="1804" max="1804" width="19.140625" style="178" customWidth="1"/>
    <col min="1805" max="1805" width="16.140625" style="178" customWidth="1"/>
    <col min="1806" max="1806" width="15.85546875" style="178" bestFit="1" customWidth="1"/>
    <col min="1807" max="1807" width="16.42578125" style="178" bestFit="1" customWidth="1"/>
    <col min="1808" max="1808" width="13.28515625" style="178" customWidth="1"/>
    <col min="1809" max="1809" width="16" style="178" customWidth="1"/>
    <col min="1810" max="2048" width="10.7109375" style="178"/>
    <col min="2049" max="2049" width="13.7109375" style="178" customWidth="1"/>
    <col min="2050" max="2050" width="78.7109375" style="178" customWidth="1"/>
    <col min="2051" max="2051" width="18" style="178" customWidth="1"/>
    <col min="2052" max="2052" width="17.85546875" style="178" customWidth="1"/>
    <col min="2053" max="2053" width="19.7109375" style="178" customWidth="1"/>
    <col min="2054" max="2054" width="2.42578125" style="178" customWidth="1"/>
    <col min="2055" max="2055" width="19.42578125" style="178" customWidth="1"/>
    <col min="2056" max="2056" width="18.85546875" style="178" customWidth="1"/>
    <col min="2057" max="2057" width="20.28515625" style="178" customWidth="1"/>
    <col min="2058" max="2058" width="18.85546875" style="178" customWidth="1"/>
    <col min="2059" max="2059" width="16.7109375" style="178" customWidth="1"/>
    <col min="2060" max="2060" width="19.140625" style="178" customWidth="1"/>
    <col min="2061" max="2061" width="16.140625" style="178" customWidth="1"/>
    <col min="2062" max="2062" width="15.85546875" style="178" bestFit="1" customWidth="1"/>
    <col min="2063" max="2063" width="16.42578125" style="178" bestFit="1" customWidth="1"/>
    <col min="2064" max="2064" width="13.28515625" style="178" customWidth="1"/>
    <col min="2065" max="2065" width="16" style="178" customWidth="1"/>
    <col min="2066" max="2304" width="10.7109375" style="178"/>
    <col min="2305" max="2305" width="13.7109375" style="178" customWidth="1"/>
    <col min="2306" max="2306" width="78.7109375" style="178" customWidth="1"/>
    <col min="2307" max="2307" width="18" style="178" customWidth="1"/>
    <col min="2308" max="2308" width="17.85546875" style="178" customWidth="1"/>
    <col min="2309" max="2309" width="19.7109375" style="178" customWidth="1"/>
    <col min="2310" max="2310" width="2.42578125" style="178" customWidth="1"/>
    <col min="2311" max="2311" width="19.42578125" style="178" customWidth="1"/>
    <col min="2312" max="2312" width="18.85546875" style="178" customWidth="1"/>
    <col min="2313" max="2313" width="20.28515625" style="178" customWidth="1"/>
    <col min="2314" max="2314" width="18.85546875" style="178" customWidth="1"/>
    <col min="2315" max="2315" width="16.7109375" style="178" customWidth="1"/>
    <col min="2316" max="2316" width="19.140625" style="178" customWidth="1"/>
    <col min="2317" max="2317" width="16.140625" style="178" customWidth="1"/>
    <col min="2318" max="2318" width="15.85546875" style="178" bestFit="1" customWidth="1"/>
    <col min="2319" max="2319" width="16.42578125" style="178" bestFit="1" customWidth="1"/>
    <col min="2320" max="2320" width="13.28515625" style="178" customWidth="1"/>
    <col min="2321" max="2321" width="16" style="178" customWidth="1"/>
    <col min="2322" max="2560" width="10.7109375" style="178"/>
    <col min="2561" max="2561" width="13.7109375" style="178" customWidth="1"/>
    <col min="2562" max="2562" width="78.7109375" style="178" customWidth="1"/>
    <col min="2563" max="2563" width="18" style="178" customWidth="1"/>
    <col min="2564" max="2564" width="17.85546875" style="178" customWidth="1"/>
    <col min="2565" max="2565" width="19.7109375" style="178" customWidth="1"/>
    <col min="2566" max="2566" width="2.42578125" style="178" customWidth="1"/>
    <col min="2567" max="2567" width="19.42578125" style="178" customWidth="1"/>
    <col min="2568" max="2568" width="18.85546875" style="178" customWidth="1"/>
    <col min="2569" max="2569" width="20.28515625" style="178" customWidth="1"/>
    <col min="2570" max="2570" width="18.85546875" style="178" customWidth="1"/>
    <col min="2571" max="2571" width="16.7109375" style="178" customWidth="1"/>
    <col min="2572" max="2572" width="19.140625" style="178" customWidth="1"/>
    <col min="2573" max="2573" width="16.140625" style="178" customWidth="1"/>
    <col min="2574" max="2574" width="15.85546875" style="178" bestFit="1" customWidth="1"/>
    <col min="2575" max="2575" width="16.42578125" style="178" bestFit="1" customWidth="1"/>
    <col min="2576" max="2576" width="13.28515625" style="178" customWidth="1"/>
    <col min="2577" max="2577" width="16" style="178" customWidth="1"/>
    <col min="2578" max="2816" width="10.7109375" style="178"/>
    <col min="2817" max="2817" width="13.7109375" style="178" customWidth="1"/>
    <col min="2818" max="2818" width="78.7109375" style="178" customWidth="1"/>
    <col min="2819" max="2819" width="18" style="178" customWidth="1"/>
    <col min="2820" max="2820" width="17.85546875" style="178" customWidth="1"/>
    <col min="2821" max="2821" width="19.7109375" style="178" customWidth="1"/>
    <col min="2822" max="2822" width="2.42578125" style="178" customWidth="1"/>
    <col min="2823" max="2823" width="19.42578125" style="178" customWidth="1"/>
    <col min="2824" max="2824" width="18.85546875" style="178" customWidth="1"/>
    <col min="2825" max="2825" width="20.28515625" style="178" customWidth="1"/>
    <col min="2826" max="2826" width="18.85546875" style="178" customWidth="1"/>
    <col min="2827" max="2827" width="16.7109375" style="178" customWidth="1"/>
    <col min="2828" max="2828" width="19.140625" style="178" customWidth="1"/>
    <col min="2829" max="2829" width="16.140625" style="178" customWidth="1"/>
    <col min="2830" max="2830" width="15.85546875" style="178" bestFit="1" customWidth="1"/>
    <col min="2831" max="2831" width="16.42578125" style="178" bestFit="1" customWidth="1"/>
    <col min="2832" max="2832" width="13.28515625" style="178" customWidth="1"/>
    <col min="2833" max="2833" width="16" style="178" customWidth="1"/>
    <col min="2834" max="3072" width="10.7109375" style="178"/>
    <col min="3073" max="3073" width="13.7109375" style="178" customWidth="1"/>
    <col min="3074" max="3074" width="78.7109375" style="178" customWidth="1"/>
    <col min="3075" max="3075" width="18" style="178" customWidth="1"/>
    <col min="3076" max="3076" width="17.85546875" style="178" customWidth="1"/>
    <col min="3077" max="3077" width="19.7109375" style="178" customWidth="1"/>
    <col min="3078" max="3078" width="2.42578125" style="178" customWidth="1"/>
    <col min="3079" max="3079" width="19.42578125" style="178" customWidth="1"/>
    <col min="3080" max="3080" width="18.85546875" style="178" customWidth="1"/>
    <col min="3081" max="3081" width="20.28515625" style="178" customWidth="1"/>
    <col min="3082" max="3082" width="18.85546875" style="178" customWidth="1"/>
    <col min="3083" max="3083" width="16.7109375" style="178" customWidth="1"/>
    <col min="3084" max="3084" width="19.140625" style="178" customWidth="1"/>
    <col min="3085" max="3085" width="16.140625" style="178" customWidth="1"/>
    <col min="3086" max="3086" width="15.85546875" style="178" bestFit="1" customWidth="1"/>
    <col min="3087" max="3087" width="16.42578125" style="178" bestFit="1" customWidth="1"/>
    <col min="3088" max="3088" width="13.28515625" style="178" customWidth="1"/>
    <col min="3089" max="3089" width="16" style="178" customWidth="1"/>
    <col min="3090" max="3328" width="10.7109375" style="178"/>
    <col min="3329" max="3329" width="13.7109375" style="178" customWidth="1"/>
    <col min="3330" max="3330" width="78.7109375" style="178" customWidth="1"/>
    <col min="3331" max="3331" width="18" style="178" customWidth="1"/>
    <col min="3332" max="3332" width="17.85546875" style="178" customWidth="1"/>
    <col min="3333" max="3333" width="19.7109375" style="178" customWidth="1"/>
    <col min="3334" max="3334" width="2.42578125" style="178" customWidth="1"/>
    <col min="3335" max="3335" width="19.42578125" style="178" customWidth="1"/>
    <col min="3336" max="3336" width="18.85546875" style="178" customWidth="1"/>
    <col min="3337" max="3337" width="20.28515625" style="178" customWidth="1"/>
    <col min="3338" max="3338" width="18.85546875" style="178" customWidth="1"/>
    <col min="3339" max="3339" width="16.7109375" style="178" customWidth="1"/>
    <col min="3340" max="3340" width="19.140625" style="178" customWidth="1"/>
    <col min="3341" max="3341" width="16.140625" style="178" customWidth="1"/>
    <col min="3342" max="3342" width="15.85546875" style="178" bestFit="1" customWidth="1"/>
    <col min="3343" max="3343" width="16.42578125" style="178" bestFit="1" customWidth="1"/>
    <col min="3344" max="3344" width="13.28515625" style="178" customWidth="1"/>
    <col min="3345" max="3345" width="16" style="178" customWidth="1"/>
    <col min="3346" max="3584" width="10.7109375" style="178"/>
    <col min="3585" max="3585" width="13.7109375" style="178" customWidth="1"/>
    <col min="3586" max="3586" width="78.7109375" style="178" customWidth="1"/>
    <col min="3587" max="3587" width="18" style="178" customWidth="1"/>
    <col min="3588" max="3588" width="17.85546875" style="178" customWidth="1"/>
    <col min="3589" max="3589" width="19.7109375" style="178" customWidth="1"/>
    <col min="3590" max="3590" width="2.42578125" style="178" customWidth="1"/>
    <col min="3591" max="3591" width="19.42578125" style="178" customWidth="1"/>
    <col min="3592" max="3592" width="18.85546875" style="178" customWidth="1"/>
    <col min="3593" max="3593" width="20.28515625" style="178" customWidth="1"/>
    <col min="3594" max="3594" width="18.85546875" style="178" customWidth="1"/>
    <col min="3595" max="3595" width="16.7109375" style="178" customWidth="1"/>
    <col min="3596" max="3596" width="19.140625" style="178" customWidth="1"/>
    <col min="3597" max="3597" width="16.140625" style="178" customWidth="1"/>
    <col min="3598" max="3598" width="15.85546875" style="178" bestFit="1" customWidth="1"/>
    <col min="3599" max="3599" width="16.42578125" style="178" bestFit="1" customWidth="1"/>
    <col min="3600" max="3600" width="13.28515625" style="178" customWidth="1"/>
    <col min="3601" max="3601" width="16" style="178" customWidth="1"/>
    <col min="3602" max="3840" width="10.7109375" style="178"/>
    <col min="3841" max="3841" width="13.7109375" style="178" customWidth="1"/>
    <col min="3842" max="3842" width="78.7109375" style="178" customWidth="1"/>
    <col min="3843" max="3843" width="18" style="178" customWidth="1"/>
    <col min="3844" max="3844" width="17.85546875" style="178" customWidth="1"/>
    <col min="3845" max="3845" width="19.7109375" style="178" customWidth="1"/>
    <col min="3846" max="3846" width="2.42578125" style="178" customWidth="1"/>
    <col min="3847" max="3847" width="19.42578125" style="178" customWidth="1"/>
    <col min="3848" max="3848" width="18.85546875" style="178" customWidth="1"/>
    <col min="3849" max="3849" width="20.28515625" style="178" customWidth="1"/>
    <col min="3850" max="3850" width="18.85546875" style="178" customWidth="1"/>
    <col min="3851" max="3851" width="16.7109375" style="178" customWidth="1"/>
    <col min="3852" max="3852" width="19.140625" style="178" customWidth="1"/>
    <col min="3853" max="3853" width="16.140625" style="178" customWidth="1"/>
    <col min="3854" max="3854" width="15.85546875" style="178" bestFit="1" customWidth="1"/>
    <col min="3855" max="3855" width="16.42578125" style="178" bestFit="1" customWidth="1"/>
    <col min="3856" max="3856" width="13.28515625" style="178" customWidth="1"/>
    <col min="3857" max="3857" width="16" style="178" customWidth="1"/>
    <col min="3858" max="4096" width="10.7109375" style="178"/>
    <col min="4097" max="4097" width="13.7109375" style="178" customWidth="1"/>
    <col min="4098" max="4098" width="78.7109375" style="178" customWidth="1"/>
    <col min="4099" max="4099" width="18" style="178" customWidth="1"/>
    <col min="4100" max="4100" width="17.85546875" style="178" customWidth="1"/>
    <col min="4101" max="4101" width="19.7109375" style="178" customWidth="1"/>
    <col min="4102" max="4102" width="2.42578125" style="178" customWidth="1"/>
    <col min="4103" max="4103" width="19.42578125" style="178" customWidth="1"/>
    <col min="4104" max="4104" width="18.85546875" style="178" customWidth="1"/>
    <col min="4105" max="4105" width="20.28515625" style="178" customWidth="1"/>
    <col min="4106" max="4106" width="18.85546875" style="178" customWidth="1"/>
    <col min="4107" max="4107" width="16.7109375" style="178" customWidth="1"/>
    <col min="4108" max="4108" width="19.140625" style="178" customWidth="1"/>
    <col min="4109" max="4109" width="16.140625" style="178" customWidth="1"/>
    <col min="4110" max="4110" width="15.85546875" style="178" bestFit="1" customWidth="1"/>
    <col min="4111" max="4111" width="16.42578125" style="178" bestFit="1" customWidth="1"/>
    <col min="4112" max="4112" width="13.28515625" style="178" customWidth="1"/>
    <col min="4113" max="4113" width="16" style="178" customWidth="1"/>
    <col min="4114" max="4352" width="10.7109375" style="178"/>
    <col min="4353" max="4353" width="13.7109375" style="178" customWidth="1"/>
    <col min="4354" max="4354" width="78.7109375" style="178" customWidth="1"/>
    <col min="4355" max="4355" width="18" style="178" customWidth="1"/>
    <col min="4356" max="4356" width="17.85546875" style="178" customWidth="1"/>
    <col min="4357" max="4357" width="19.7109375" style="178" customWidth="1"/>
    <col min="4358" max="4358" width="2.42578125" style="178" customWidth="1"/>
    <col min="4359" max="4359" width="19.42578125" style="178" customWidth="1"/>
    <col min="4360" max="4360" width="18.85546875" style="178" customWidth="1"/>
    <col min="4361" max="4361" width="20.28515625" style="178" customWidth="1"/>
    <col min="4362" max="4362" width="18.85546875" style="178" customWidth="1"/>
    <col min="4363" max="4363" width="16.7109375" style="178" customWidth="1"/>
    <col min="4364" max="4364" width="19.140625" style="178" customWidth="1"/>
    <col min="4365" max="4365" width="16.140625" style="178" customWidth="1"/>
    <col min="4366" max="4366" width="15.85546875" style="178" bestFit="1" customWidth="1"/>
    <col min="4367" max="4367" width="16.42578125" style="178" bestFit="1" customWidth="1"/>
    <col min="4368" max="4368" width="13.28515625" style="178" customWidth="1"/>
    <col min="4369" max="4369" width="16" style="178" customWidth="1"/>
    <col min="4370" max="4608" width="10.7109375" style="178"/>
    <col min="4609" max="4609" width="13.7109375" style="178" customWidth="1"/>
    <col min="4610" max="4610" width="78.7109375" style="178" customWidth="1"/>
    <col min="4611" max="4611" width="18" style="178" customWidth="1"/>
    <col min="4612" max="4612" width="17.85546875" style="178" customWidth="1"/>
    <col min="4613" max="4613" width="19.7109375" style="178" customWidth="1"/>
    <col min="4614" max="4614" width="2.42578125" style="178" customWidth="1"/>
    <col min="4615" max="4615" width="19.42578125" style="178" customWidth="1"/>
    <col min="4616" max="4616" width="18.85546875" style="178" customWidth="1"/>
    <col min="4617" max="4617" width="20.28515625" style="178" customWidth="1"/>
    <col min="4618" max="4618" width="18.85546875" style="178" customWidth="1"/>
    <col min="4619" max="4619" width="16.7109375" style="178" customWidth="1"/>
    <col min="4620" max="4620" width="19.140625" style="178" customWidth="1"/>
    <col min="4621" max="4621" width="16.140625" style="178" customWidth="1"/>
    <col min="4622" max="4622" width="15.85546875" style="178" bestFit="1" customWidth="1"/>
    <col min="4623" max="4623" width="16.42578125" style="178" bestFit="1" customWidth="1"/>
    <col min="4624" max="4624" width="13.28515625" style="178" customWidth="1"/>
    <col min="4625" max="4625" width="16" style="178" customWidth="1"/>
    <col min="4626" max="4864" width="10.7109375" style="178"/>
    <col min="4865" max="4865" width="13.7109375" style="178" customWidth="1"/>
    <col min="4866" max="4866" width="78.7109375" style="178" customWidth="1"/>
    <col min="4867" max="4867" width="18" style="178" customWidth="1"/>
    <col min="4868" max="4868" width="17.85546875" style="178" customWidth="1"/>
    <col min="4869" max="4869" width="19.7109375" style="178" customWidth="1"/>
    <col min="4870" max="4870" width="2.42578125" style="178" customWidth="1"/>
    <col min="4871" max="4871" width="19.42578125" style="178" customWidth="1"/>
    <col min="4872" max="4872" width="18.85546875" style="178" customWidth="1"/>
    <col min="4873" max="4873" width="20.28515625" style="178" customWidth="1"/>
    <col min="4874" max="4874" width="18.85546875" style="178" customWidth="1"/>
    <col min="4875" max="4875" width="16.7109375" style="178" customWidth="1"/>
    <col min="4876" max="4876" width="19.140625" style="178" customWidth="1"/>
    <col min="4877" max="4877" width="16.140625" style="178" customWidth="1"/>
    <col min="4878" max="4878" width="15.85546875" style="178" bestFit="1" customWidth="1"/>
    <col min="4879" max="4879" width="16.42578125" style="178" bestFit="1" customWidth="1"/>
    <col min="4880" max="4880" width="13.28515625" style="178" customWidth="1"/>
    <col min="4881" max="4881" width="16" style="178" customWidth="1"/>
    <col min="4882" max="5120" width="10.7109375" style="178"/>
    <col min="5121" max="5121" width="13.7109375" style="178" customWidth="1"/>
    <col min="5122" max="5122" width="78.7109375" style="178" customWidth="1"/>
    <col min="5123" max="5123" width="18" style="178" customWidth="1"/>
    <col min="5124" max="5124" width="17.85546875" style="178" customWidth="1"/>
    <col min="5125" max="5125" width="19.7109375" style="178" customWidth="1"/>
    <col min="5126" max="5126" width="2.42578125" style="178" customWidth="1"/>
    <col min="5127" max="5127" width="19.42578125" style="178" customWidth="1"/>
    <col min="5128" max="5128" width="18.85546875" style="178" customWidth="1"/>
    <col min="5129" max="5129" width="20.28515625" style="178" customWidth="1"/>
    <col min="5130" max="5130" width="18.85546875" style="178" customWidth="1"/>
    <col min="5131" max="5131" width="16.7109375" style="178" customWidth="1"/>
    <col min="5132" max="5132" width="19.140625" style="178" customWidth="1"/>
    <col min="5133" max="5133" width="16.140625" style="178" customWidth="1"/>
    <col min="5134" max="5134" width="15.85546875" style="178" bestFit="1" customWidth="1"/>
    <col min="5135" max="5135" width="16.42578125" style="178" bestFit="1" customWidth="1"/>
    <col min="5136" max="5136" width="13.28515625" style="178" customWidth="1"/>
    <col min="5137" max="5137" width="16" style="178" customWidth="1"/>
    <col min="5138" max="5376" width="10.7109375" style="178"/>
    <col min="5377" max="5377" width="13.7109375" style="178" customWidth="1"/>
    <col min="5378" max="5378" width="78.7109375" style="178" customWidth="1"/>
    <col min="5379" max="5379" width="18" style="178" customWidth="1"/>
    <col min="5380" max="5380" width="17.85546875" style="178" customWidth="1"/>
    <col min="5381" max="5381" width="19.7109375" style="178" customWidth="1"/>
    <col min="5382" max="5382" width="2.42578125" style="178" customWidth="1"/>
    <col min="5383" max="5383" width="19.42578125" style="178" customWidth="1"/>
    <col min="5384" max="5384" width="18.85546875" style="178" customWidth="1"/>
    <col min="5385" max="5385" width="20.28515625" style="178" customWidth="1"/>
    <col min="5386" max="5386" width="18.85546875" style="178" customWidth="1"/>
    <col min="5387" max="5387" width="16.7109375" style="178" customWidth="1"/>
    <col min="5388" max="5388" width="19.140625" style="178" customWidth="1"/>
    <col min="5389" max="5389" width="16.140625" style="178" customWidth="1"/>
    <col min="5390" max="5390" width="15.85546875" style="178" bestFit="1" customWidth="1"/>
    <col min="5391" max="5391" width="16.42578125" style="178" bestFit="1" customWidth="1"/>
    <col min="5392" max="5392" width="13.28515625" style="178" customWidth="1"/>
    <col min="5393" max="5393" width="16" style="178" customWidth="1"/>
    <col min="5394" max="5632" width="10.7109375" style="178"/>
    <col min="5633" max="5633" width="13.7109375" style="178" customWidth="1"/>
    <col min="5634" max="5634" width="78.7109375" style="178" customWidth="1"/>
    <col min="5635" max="5635" width="18" style="178" customWidth="1"/>
    <col min="5636" max="5636" width="17.85546875" style="178" customWidth="1"/>
    <col min="5637" max="5637" width="19.7109375" style="178" customWidth="1"/>
    <col min="5638" max="5638" width="2.42578125" style="178" customWidth="1"/>
    <col min="5639" max="5639" width="19.42578125" style="178" customWidth="1"/>
    <col min="5640" max="5640" width="18.85546875" style="178" customWidth="1"/>
    <col min="5641" max="5641" width="20.28515625" style="178" customWidth="1"/>
    <col min="5642" max="5642" width="18.85546875" style="178" customWidth="1"/>
    <col min="5643" max="5643" width="16.7109375" style="178" customWidth="1"/>
    <col min="5644" max="5644" width="19.140625" style="178" customWidth="1"/>
    <col min="5645" max="5645" width="16.140625" style="178" customWidth="1"/>
    <col min="5646" max="5646" width="15.85546875" style="178" bestFit="1" customWidth="1"/>
    <col min="5647" max="5647" width="16.42578125" style="178" bestFit="1" customWidth="1"/>
    <col min="5648" max="5648" width="13.28515625" style="178" customWidth="1"/>
    <col min="5649" max="5649" width="16" style="178" customWidth="1"/>
    <col min="5650" max="5888" width="10.7109375" style="178"/>
    <col min="5889" max="5889" width="13.7109375" style="178" customWidth="1"/>
    <col min="5890" max="5890" width="78.7109375" style="178" customWidth="1"/>
    <col min="5891" max="5891" width="18" style="178" customWidth="1"/>
    <col min="5892" max="5892" width="17.85546875" style="178" customWidth="1"/>
    <col min="5893" max="5893" width="19.7109375" style="178" customWidth="1"/>
    <col min="5894" max="5894" width="2.42578125" style="178" customWidth="1"/>
    <col min="5895" max="5895" width="19.42578125" style="178" customWidth="1"/>
    <col min="5896" max="5896" width="18.85546875" style="178" customWidth="1"/>
    <col min="5897" max="5897" width="20.28515625" style="178" customWidth="1"/>
    <col min="5898" max="5898" width="18.85546875" style="178" customWidth="1"/>
    <col min="5899" max="5899" width="16.7109375" style="178" customWidth="1"/>
    <col min="5900" max="5900" width="19.140625" style="178" customWidth="1"/>
    <col min="5901" max="5901" width="16.140625" style="178" customWidth="1"/>
    <col min="5902" max="5902" width="15.85546875" style="178" bestFit="1" customWidth="1"/>
    <col min="5903" max="5903" width="16.42578125" style="178" bestFit="1" customWidth="1"/>
    <col min="5904" max="5904" width="13.28515625" style="178" customWidth="1"/>
    <col min="5905" max="5905" width="16" style="178" customWidth="1"/>
    <col min="5906" max="6144" width="10.7109375" style="178"/>
    <col min="6145" max="6145" width="13.7109375" style="178" customWidth="1"/>
    <col min="6146" max="6146" width="78.7109375" style="178" customWidth="1"/>
    <col min="6147" max="6147" width="18" style="178" customWidth="1"/>
    <col min="6148" max="6148" width="17.85546875" style="178" customWidth="1"/>
    <col min="6149" max="6149" width="19.7109375" style="178" customWidth="1"/>
    <col min="6150" max="6150" width="2.42578125" style="178" customWidth="1"/>
    <col min="6151" max="6151" width="19.42578125" style="178" customWidth="1"/>
    <col min="6152" max="6152" width="18.85546875" style="178" customWidth="1"/>
    <col min="6153" max="6153" width="20.28515625" style="178" customWidth="1"/>
    <col min="6154" max="6154" width="18.85546875" style="178" customWidth="1"/>
    <col min="6155" max="6155" width="16.7109375" style="178" customWidth="1"/>
    <col min="6156" max="6156" width="19.140625" style="178" customWidth="1"/>
    <col min="6157" max="6157" width="16.140625" style="178" customWidth="1"/>
    <col min="6158" max="6158" width="15.85546875" style="178" bestFit="1" customWidth="1"/>
    <col min="6159" max="6159" width="16.42578125" style="178" bestFit="1" customWidth="1"/>
    <col min="6160" max="6160" width="13.28515625" style="178" customWidth="1"/>
    <col min="6161" max="6161" width="16" style="178" customWidth="1"/>
    <col min="6162" max="6400" width="10.7109375" style="178"/>
    <col min="6401" max="6401" width="13.7109375" style="178" customWidth="1"/>
    <col min="6402" max="6402" width="78.7109375" style="178" customWidth="1"/>
    <col min="6403" max="6403" width="18" style="178" customWidth="1"/>
    <col min="6404" max="6404" width="17.85546875" style="178" customWidth="1"/>
    <col min="6405" max="6405" width="19.7109375" style="178" customWidth="1"/>
    <col min="6406" max="6406" width="2.42578125" style="178" customWidth="1"/>
    <col min="6407" max="6407" width="19.42578125" style="178" customWidth="1"/>
    <col min="6408" max="6408" width="18.85546875" style="178" customWidth="1"/>
    <col min="6409" max="6409" width="20.28515625" style="178" customWidth="1"/>
    <col min="6410" max="6410" width="18.85546875" style="178" customWidth="1"/>
    <col min="6411" max="6411" width="16.7109375" style="178" customWidth="1"/>
    <col min="6412" max="6412" width="19.140625" style="178" customWidth="1"/>
    <col min="6413" max="6413" width="16.140625" style="178" customWidth="1"/>
    <col min="6414" max="6414" width="15.85546875" style="178" bestFit="1" customWidth="1"/>
    <col min="6415" max="6415" width="16.42578125" style="178" bestFit="1" customWidth="1"/>
    <col min="6416" max="6416" width="13.28515625" style="178" customWidth="1"/>
    <col min="6417" max="6417" width="16" style="178" customWidth="1"/>
    <col min="6418" max="6656" width="10.7109375" style="178"/>
    <col min="6657" max="6657" width="13.7109375" style="178" customWidth="1"/>
    <col min="6658" max="6658" width="78.7109375" style="178" customWidth="1"/>
    <col min="6659" max="6659" width="18" style="178" customWidth="1"/>
    <col min="6660" max="6660" width="17.85546875" style="178" customWidth="1"/>
    <col min="6661" max="6661" width="19.7109375" style="178" customWidth="1"/>
    <col min="6662" max="6662" width="2.42578125" style="178" customWidth="1"/>
    <col min="6663" max="6663" width="19.42578125" style="178" customWidth="1"/>
    <col min="6664" max="6664" width="18.85546875" style="178" customWidth="1"/>
    <col min="6665" max="6665" width="20.28515625" style="178" customWidth="1"/>
    <col min="6666" max="6666" width="18.85546875" style="178" customWidth="1"/>
    <col min="6667" max="6667" width="16.7109375" style="178" customWidth="1"/>
    <col min="6668" max="6668" width="19.140625" style="178" customWidth="1"/>
    <col min="6669" max="6669" width="16.140625" style="178" customWidth="1"/>
    <col min="6670" max="6670" width="15.85546875" style="178" bestFit="1" customWidth="1"/>
    <col min="6671" max="6671" width="16.42578125" style="178" bestFit="1" customWidth="1"/>
    <col min="6672" max="6672" width="13.28515625" style="178" customWidth="1"/>
    <col min="6673" max="6673" width="16" style="178" customWidth="1"/>
    <col min="6674" max="6912" width="10.7109375" style="178"/>
    <col min="6913" max="6913" width="13.7109375" style="178" customWidth="1"/>
    <col min="6914" max="6914" width="78.7109375" style="178" customWidth="1"/>
    <col min="6915" max="6915" width="18" style="178" customWidth="1"/>
    <col min="6916" max="6916" width="17.85546875" style="178" customWidth="1"/>
    <col min="6917" max="6917" width="19.7109375" style="178" customWidth="1"/>
    <col min="6918" max="6918" width="2.42578125" style="178" customWidth="1"/>
    <col min="6919" max="6919" width="19.42578125" style="178" customWidth="1"/>
    <col min="6920" max="6920" width="18.85546875" style="178" customWidth="1"/>
    <col min="6921" max="6921" width="20.28515625" style="178" customWidth="1"/>
    <col min="6922" max="6922" width="18.85546875" style="178" customWidth="1"/>
    <col min="6923" max="6923" width="16.7109375" style="178" customWidth="1"/>
    <col min="6924" max="6924" width="19.140625" style="178" customWidth="1"/>
    <col min="6925" max="6925" width="16.140625" style="178" customWidth="1"/>
    <col min="6926" max="6926" width="15.85546875" style="178" bestFit="1" customWidth="1"/>
    <col min="6927" max="6927" width="16.42578125" style="178" bestFit="1" customWidth="1"/>
    <col min="6928" max="6928" width="13.28515625" style="178" customWidth="1"/>
    <col min="6929" max="6929" width="16" style="178" customWidth="1"/>
    <col min="6930" max="7168" width="10.7109375" style="178"/>
    <col min="7169" max="7169" width="13.7109375" style="178" customWidth="1"/>
    <col min="7170" max="7170" width="78.7109375" style="178" customWidth="1"/>
    <col min="7171" max="7171" width="18" style="178" customWidth="1"/>
    <col min="7172" max="7172" width="17.85546875" style="178" customWidth="1"/>
    <col min="7173" max="7173" width="19.7109375" style="178" customWidth="1"/>
    <col min="7174" max="7174" width="2.42578125" style="178" customWidth="1"/>
    <col min="7175" max="7175" width="19.42578125" style="178" customWidth="1"/>
    <col min="7176" max="7176" width="18.85546875" style="178" customWidth="1"/>
    <col min="7177" max="7177" width="20.28515625" style="178" customWidth="1"/>
    <col min="7178" max="7178" width="18.85546875" style="178" customWidth="1"/>
    <col min="7179" max="7179" width="16.7109375" style="178" customWidth="1"/>
    <col min="7180" max="7180" width="19.140625" style="178" customWidth="1"/>
    <col min="7181" max="7181" width="16.140625" style="178" customWidth="1"/>
    <col min="7182" max="7182" width="15.85546875" style="178" bestFit="1" customWidth="1"/>
    <col min="7183" max="7183" width="16.42578125" style="178" bestFit="1" customWidth="1"/>
    <col min="7184" max="7184" width="13.28515625" style="178" customWidth="1"/>
    <col min="7185" max="7185" width="16" style="178" customWidth="1"/>
    <col min="7186" max="7424" width="10.7109375" style="178"/>
    <col min="7425" max="7425" width="13.7109375" style="178" customWidth="1"/>
    <col min="7426" max="7426" width="78.7109375" style="178" customWidth="1"/>
    <col min="7427" max="7427" width="18" style="178" customWidth="1"/>
    <col min="7428" max="7428" width="17.85546875" style="178" customWidth="1"/>
    <col min="7429" max="7429" width="19.7109375" style="178" customWidth="1"/>
    <col min="7430" max="7430" width="2.42578125" style="178" customWidth="1"/>
    <col min="7431" max="7431" width="19.42578125" style="178" customWidth="1"/>
    <col min="7432" max="7432" width="18.85546875" style="178" customWidth="1"/>
    <col min="7433" max="7433" width="20.28515625" style="178" customWidth="1"/>
    <col min="7434" max="7434" width="18.85546875" style="178" customWidth="1"/>
    <col min="7435" max="7435" width="16.7109375" style="178" customWidth="1"/>
    <col min="7436" max="7436" width="19.140625" style="178" customWidth="1"/>
    <col min="7437" max="7437" width="16.140625" style="178" customWidth="1"/>
    <col min="7438" max="7438" width="15.85546875" style="178" bestFit="1" customWidth="1"/>
    <col min="7439" max="7439" width="16.42578125" style="178" bestFit="1" customWidth="1"/>
    <col min="7440" max="7440" width="13.28515625" style="178" customWidth="1"/>
    <col min="7441" max="7441" width="16" style="178" customWidth="1"/>
    <col min="7442" max="7680" width="10.7109375" style="178"/>
    <col min="7681" max="7681" width="13.7109375" style="178" customWidth="1"/>
    <col min="7682" max="7682" width="78.7109375" style="178" customWidth="1"/>
    <col min="7683" max="7683" width="18" style="178" customWidth="1"/>
    <col min="7684" max="7684" width="17.85546875" style="178" customWidth="1"/>
    <col min="7685" max="7685" width="19.7109375" style="178" customWidth="1"/>
    <col min="7686" max="7686" width="2.42578125" style="178" customWidth="1"/>
    <col min="7687" max="7687" width="19.42578125" style="178" customWidth="1"/>
    <col min="7688" max="7688" width="18.85546875" style="178" customWidth="1"/>
    <col min="7689" max="7689" width="20.28515625" style="178" customWidth="1"/>
    <col min="7690" max="7690" width="18.85546875" style="178" customWidth="1"/>
    <col min="7691" max="7691" width="16.7109375" style="178" customWidth="1"/>
    <col min="7692" max="7692" width="19.140625" style="178" customWidth="1"/>
    <col min="7693" max="7693" width="16.140625" style="178" customWidth="1"/>
    <col min="7694" max="7694" width="15.85546875" style="178" bestFit="1" customWidth="1"/>
    <col min="7695" max="7695" width="16.42578125" style="178" bestFit="1" customWidth="1"/>
    <col min="7696" max="7696" width="13.28515625" style="178" customWidth="1"/>
    <col min="7697" max="7697" width="16" style="178" customWidth="1"/>
    <col min="7698" max="7936" width="10.7109375" style="178"/>
    <col min="7937" max="7937" width="13.7109375" style="178" customWidth="1"/>
    <col min="7938" max="7938" width="78.7109375" style="178" customWidth="1"/>
    <col min="7939" max="7939" width="18" style="178" customWidth="1"/>
    <col min="7940" max="7940" width="17.85546875" style="178" customWidth="1"/>
    <col min="7941" max="7941" width="19.7109375" style="178" customWidth="1"/>
    <col min="7942" max="7942" width="2.42578125" style="178" customWidth="1"/>
    <col min="7943" max="7943" width="19.42578125" style="178" customWidth="1"/>
    <col min="7944" max="7944" width="18.85546875" style="178" customWidth="1"/>
    <col min="7945" max="7945" width="20.28515625" style="178" customWidth="1"/>
    <col min="7946" max="7946" width="18.85546875" style="178" customWidth="1"/>
    <col min="7947" max="7947" width="16.7109375" style="178" customWidth="1"/>
    <col min="7948" max="7948" width="19.140625" style="178" customWidth="1"/>
    <col min="7949" max="7949" width="16.140625" style="178" customWidth="1"/>
    <col min="7950" max="7950" width="15.85546875" style="178" bestFit="1" customWidth="1"/>
    <col min="7951" max="7951" width="16.42578125" style="178" bestFit="1" customWidth="1"/>
    <col min="7952" max="7952" width="13.28515625" style="178" customWidth="1"/>
    <col min="7953" max="7953" width="16" style="178" customWidth="1"/>
    <col min="7954" max="8192" width="10.7109375" style="178"/>
    <col min="8193" max="8193" width="13.7109375" style="178" customWidth="1"/>
    <col min="8194" max="8194" width="78.7109375" style="178" customWidth="1"/>
    <col min="8195" max="8195" width="18" style="178" customWidth="1"/>
    <col min="8196" max="8196" width="17.85546875" style="178" customWidth="1"/>
    <col min="8197" max="8197" width="19.7109375" style="178" customWidth="1"/>
    <col min="8198" max="8198" width="2.42578125" style="178" customWidth="1"/>
    <col min="8199" max="8199" width="19.42578125" style="178" customWidth="1"/>
    <col min="8200" max="8200" width="18.85546875" style="178" customWidth="1"/>
    <col min="8201" max="8201" width="20.28515625" style="178" customWidth="1"/>
    <col min="8202" max="8202" width="18.85546875" style="178" customWidth="1"/>
    <col min="8203" max="8203" width="16.7109375" style="178" customWidth="1"/>
    <col min="8204" max="8204" width="19.140625" style="178" customWidth="1"/>
    <col min="8205" max="8205" width="16.140625" style="178" customWidth="1"/>
    <col min="8206" max="8206" width="15.85546875" style="178" bestFit="1" customWidth="1"/>
    <col min="8207" max="8207" width="16.42578125" style="178" bestFit="1" customWidth="1"/>
    <col min="8208" max="8208" width="13.28515625" style="178" customWidth="1"/>
    <col min="8209" max="8209" width="16" style="178" customWidth="1"/>
    <col min="8210" max="8448" width="10.7109375" style="178"/>
    <col min="8449" max="8449" width="13.7109375" style="178" customWidth="1"/>
    <col min="8450" max="8450" width="78.7109375" style="178" customWidth="1"/>
    <col min="8451" max="8451" width="18" style="178" customWidth="1"/>
    <col min="8452" max="8452" width="17.85546875" style="178" customWidth="1"/>
    <col min="8453" max="8453" width="19.7109375" style="178" customWidth="1"/>
    <col min="8454" max="8454" width="2.42578125" style="178" customWidth="1"/>
    <col min="8455" max="8455" width="19.42578125" style="178" customWidth="1"/>
    <col min="8456" max="8456" width="18.85546875" style="178" customWidth="1"/>
    <col min="8457" max="8457" width="20.28515625" style="178" customWidth="1"/>
    <col min="8458" max="8458" width="18.85546875" style="178" customWidth="1"/>
    <col min="8459" max="8459" width="16.7109375" style="178" customWidth="1"/>
    <col min="8460" max="8460" width="19.140625" style="178" customWidth="1"/>
    <col min="8461" max="8461" width="16.140625" style="178" customWidth="1"/>
    <col min="8462" max="8462" width="15.85546875" style="178" bestFit="1" customWidth="1"/>
    <col min="8463" max="8463" width="16.42578125" style="178" bestFit="1" customWidth="1"/>
    <col min="8464" max="8464" width="13.28515625" style="178" customWidth="1"/>
    <col min="8465" max="8465" width="16" style="178" customWidth="1"/>
    <col min="8466" max="8704" width="10.7109375" style="178"/>
    <col min="8705" max="8705" width="13.7109375" style="178" customWidth="1"/>
    <col min="8706" max="8706" width="78.7109375" style="178" customWidth="1"/>
    <col min="8707" max="8707" width="18" style="178" customWidth="1"/>
    <col min="8708" max="8708" width="17.85546875" style="178" customWidth="1"/>
    <col min="8709" max="8709" width="19.7109375" style="178" customWidth="1"/>
    <col min="8710" max="8710" width="2.42578125" style="178" customWidth="1"/>
    <col min="8711" max="8711" width="19.42578125" style="178" customWidth="1"/>
    <col min="8712" max="8712" width="18.85546875" style="178" customWidth="1"/>
    <col min="8713" max="8713" width="20.28515625" style="178" customWidth="1"/>
    <col min="8714" max="8714" width="18.85546875" style="178" customWidth="1"/>
    <col min="8715" max="8715" width="16.7109375" style="178" customWidth="1"/>
    <col min="8716" max="8716" width="19.140625" style="178" customWidth="1"/>
    <col min="8717" max="8717" width="16.140625" style="178" customWidth="1"/>
    <col min="8718" max="8718" width="15.85546875" style="178" bestFit="1" customWidth="1"/>
    <col min="8719" max="8719" width="16.42578125" style="178" bestFit="1" customWidth="1"/>
    <col min="8720" max="8720" width="13.28515625" style="178" customWidth="1"/>
    <col min="8721" max="8721" width="16" style="178" customWidth="1"/>
    <col min="8722" max="8960" width="10.7109375" style="178"/>
    <col min="8961" max="8961" width="13.7109375" style="178" customWidth="1"/>
    <col min="8962" max="8962" width="78.7109375" style="178" customWidth="1"/>
    <col min="8963" max="8963" width="18" style="178" customWidth="1"/>
    <col min="8964" max="8964" width="17.85546875" style="178" customWidth="1"/>
    <col min="8965" max="8965" width="19.7109375" style="178" customWidth="1"/>
    <col min="8966" max="8966" width="2.42578125" style="178" customWidth="1"/>
    <col min="8967" max="8967" width="19.42578125" style="178" customWidth="1"/>
    <col min="8968" max="8968" width="18.85546875" style="178" customWidth="1"/>
    <col min="8969" max="8969" width="20.28515625" style="178" customWidth="1"/>
    <col min="8970" max="8970" width="18.85546875" style="178" customWidth="1"/>
    <col min="8971" max="8971" width="16.7109375" style="178" customWidth="1"/>
    <col min="8972" max="8972" width="19.140625" style="178" customWidth="1"/>
    <col min="8973" max="8973" width="16.140625" style="178" customWidth="1"/>
    <col min="8974" max="8974" width="15.85546875" style="178" bestFit="1" customWidth="1"/>
    <col min="8975" max="8975" width="16.42578125" style="178" bestFit="1" customWidth="1"/>
    <col min="8976" max="8976" width="13.28515625" style="178" customWidth="1"/>
    <col min="8977" max="8977" width="16" style="178" customWidth="1"/>
    <col min="8978" max="9216" width="10.7109375" style="178"/>
    <col min="9217" max="9217" width="13.7109375" style="178" customWidth="1"/>
    <col min="9218" max="9218" width="78.7109375" style="178" customWidth="1"/>
    <col min="9219" max="9219" width="18" style="178" customWidth="1"/>
    <col min="9220" max="9220" width="17.85546875" style="178" customWidth="1"/>
    <col min="9221" max="9221" width="19.7109375" style="178" customWidth="1"/>
    <col min="9222" max="9222" width="2.42578125" style="178" customWidth="1"/>
    <col min="9223" max="9223" width="19.42578125" style="178" customWidth="1"/>
    <col min="9224" max="9224" width="18.85546875" style="178" customWidth="1"/>
    <col min="9225" max="9225" width="20.28515625" style="178" customWidth="1"/>
    <col min="9226" max="9226" width="18.85546875" style="178" customWidth="1"/>
    <col min="9227" max="9227" width="16.7109375" style="178" customWidth="1"/>
    <col min="9228" max="9228" width="19.140625" style="178" customWidth="1"/>
    <col min="9229" max="9229" width="16.140625" style="178" customWidth="1"/>
    <col min="9230" max="9230" width="15.85546875" style="178" bestFit="1" customWidth="1"/>
    <col min="9231" max="9231" width="16.42578125" style="178" bestFit="1" customWidth="1"/>
    <col min="9232" max="9232" width="13.28515625" style="178" customWidth="1"/>
    <col min="9233" max="9233" width="16" style="178" customWidth="1"/>
    <col min="9234" max="9472" width="10.7109375" style="178"/>
    <col min="9473" max="9473" width="13.7109375" style="178" customWidth="1"/>
    <col min="9474" max="9474" width="78.7109375" style="178" customWidth="1"/>
    <col min="9475" max="9475" width="18" style="178" customWidth="1"/>
    <col min="9476" max="9476" width="17.85546875" style="178" customWidth="1"/>
    <col min="9477" max="9477" width="19.7109375" style="178" customWidth="1"/>
    <col min="9478" max="9478" width="2.42578125" style="178" customWidth="1"/>
    <col min="9479" max="9479" width="19.42578125" style="178" customWidth="1"/>
    <col min="9480" max="9480" width="18.85546875" style="178" customWidth="1"/>
    <col min="9481" max="9481" width="20.28515625" style="178" customWidth="1"/>
    <col min="9482" max="9482" width="18.85546875" style="178" customWidth="1"/>
    <col min="9483" max="9483" width="16.7109375" style="178" customWidth="1"/>
    <col min="9484" max="9484" width="19.140625" style="178" customWidth="1"/>
    <col min="9485" max="9485" width="16.140625" style="178" customWidth="1"/>
    <col min="9486" max="9486" width="15.85546875" style="178" bestFit="1" customWidth="1"/>
    <col min="9487" max="9487" width="16.42578125" style="178" bestFit="1" customWidth="1"/>
    <col min="9488" max="9488" width="13.28515625" style="178" customWidth="1"/>
    <col min="9489" max="9489" width="16" style="178" customWidth="1"/>
    <col min="9490" max="9728" width="10.7109375" style="178"/>
    <col min="9729" max="9729" width="13.7109375" style="178" customWidth="1"/>
    <col min="9730" max="9730" width="78.7109375" style="178" customWidth="1"/>
    <col min="9731" max="9731" width="18" style="178" customWidth="1"/>
    <col min="9732" max="9732" width="17.85546875" style="178" customWidth="1"/>
    <col min="9733" max="9733" width="19.7109375" style="178" customWidth="1"/>
    <col min="9734" max="9734" width="2.42578125" style="178" customWidth="1"/>
    <col min="9735" max="9735" width="19.42578125" style="178" customWidth="1"/>
    <col min="9736" max="9736" width="18.85546875" style="178" customWidth="1"/>
    <col min="9737" max="9737" width="20.28515625" style="178" customWidth="1"/>
    <col min="9738" max="9738" width="18.85546875" style="178" customWidth="1"/>
    <col min="9739" max="9739" width="16.7109375" style="178" customWidth="1"/>
    <col min="9740" max="9740" width="19.140625" style="178" customWidth="1"/>
    <col min="9741" max="9741" width="16.140625" style="178" customWidth="1"/>
    <col min="9742" max="9742" width="15.85546875" style="178" bestFit="1" customWidth="1"/>
    <col min="9743" max="9743" width="16.42578125" style="178" bestFit="1" customWidth="1"/>
    <col min="9744" max="9744" width="13.28515625" style="178" customWidth="1"/>
    <col min="9745" max="9745" width="16" style="178" customWidth="1"/>
    <col min="9746" max="9984" width="10.7109375" style="178"/>
    <col min="9985" max="9985" width="13.7109375" style="178" customWidth="1"/>
    <col min="9986" max="9986" width="78.7109375" style="178" customWidth="1"/>
    <col min="9987" max="9987" width="18" style="178" customWidth="1"/>
    <col min="9988" max="9988" width="17.85546875" style="178" customWidth="1"/>
    <col min="9989" max="9989" width="19.7109375" style="178" customWidth="1"/>
    <col min="9990" max="9990" width="2.42578125" style="178" customWidth="1"/>
    <col min="9991" max="9991" width="19.42578125" style="178" customWidth="1"/>
    <col min="9992" max="9992" width="18.85546875" style="178" customWidth="1"/>
    <col min="9993" max="9993" width="20.28515625" style="178" customWidth="1"/>
    <col min="9994" max="9994" width="18.85546875" style="178" customWidth="1"/>
    <col min="9995" max="9995" width="16.7109375" style="178" customWidth="1"/>
    <col min="9996" max="9996" width="19.140625" style="178" customWidth="1"/>
    <col min="9997" max="9997" width="16.140625" style="178" customWidth="1"/>
    <col min="9998" max="9998" width="15.85546875" style="178" bestFit="1" customWidth="1"/>
    <col min="9999" max="9999" width="16.42578125" style="178" bestFit="1" customWidth="1"/>
    <col min="10000" max="10000" width="13.28515625" style="178" customWidth="1"/>
    <col min="10001" max="10001" width="16" style="178" customWidth="1"/>
    <col min="10002" max="10240" width="10.7109375" style="178"/>
    <col min="10241" max="10241" width="13.7109375" style="178" customWidth="1"/>
    <col min="10242" max="10242" width="78.7109375" style="178" customWidth="1"/>
    <col min="10243" max="10243" width="18" style="178" customWidth="1"/>
    <col min="10244" max="10244" width="17.85546875" style="178" customWidth="1"/>
    <col min="10245" max="10245" width="19.7109375" style="178" customWidth="1"/>
    <col min="10246" max="10246" width="2.42578125" style="178" customWidth="1"/>
    <col min="10247" max="10247" width="19.42578125" style="178" customWidth="1"/>
    <col min="10248" max="10248" width="18.85546875" style="178" customWidth="1"/>
    <col min="10249" max="10249" width="20.28515625" style="178" customWidth="1"/>
    <col min="10250" max="10250" width="18.85546875" style="178" customWidth="1"/>
    <col min="10251" max="10251" width="16.7109375" style="178" customWidth="1"/>
    <col min="10252" max="10252" width="19.140625" style="178" customWidth="1"/>
    <col min="10253" max="10253" width="16.140625" style="178" customWidth="1"/>
    <col min="10254" max="10254" width="15.85546875" style="178" bestFit="1" customWidth="1"/>
    <col min="10255" max="10255" width="16.42578125" style="178" bestFit="1" customWidth="1"/>
    <col min="10256" max="10256" width="13.28515625" style="178" customWidth="1"/>
    <col min="10257" max="10257" width="16" style="178" customWidth="1"/>
    <col min="10258" max="10496" width="10.7109375" style="178"/>
    <col min="10497" max="10497" width="13.7109375" style="178" customWidth="1"/>
    <col min="10498" max="10498" width="78.7109375" style="178" customWidth="1"/>
    <col min="10499" max="10499" width="18" style="178" customWidth="1"/>
    <col min="10500" max="10500" width="17.85546875" style="178" customWidth="1"/>
    <col min="10501" max="10501" width="19.7109375" style="178" customWidth="1"/>
    <col min="10502" max="10502" width="2.42578125" style="178" customWidth="1"/>
    <col min="10503" max="10503" width="19.42578125" style="178" customWidth="1"/>
    <col min="10504" max="10504" width="18.85546875" style="178" customWidth="1"/>
    <col min="10505" max="10505" width="20.28515625" style="178" customWidth="1"/>
    <col min="10506" max="10506" width="18.85546875" style="178" customWidth="1"/>
    <col min="10507" max="10507" width="16.7109375" style="178" customWidth="1"/>
    <col min="10508" max="10508" width="19.140625" style="178" customWidth="1"/>
    <col min="10509" max="10509" width="16.140625" style="178" customWidth="1"/>
    <col min="10510" max="10510" width="15.85546875" style="178" bestFit="1" customWidth="1"/>
    <col min="10511" max="10511" width="16.42578125" style="178" bestFit="1" customWidth="1"/>
    <col min="10512" max="10512" width="13.28515625" style="178" customWidth="1"/>
    <col min="10513" max="10513" width="16" style="178" customWidth="1"/>
    <col min="10514" max="10752" width="10.7109375" style="178"/>
    <col min="10753" max="10753" width="13.7109375" style="178" customWidth="1"/>
    <col min="10754" max="10754" width="78.7109375" style="178" customWidth="1"/>
    <col min="10755" max="10755" width="18" style="178" customWidth="1"/>
    <col min="10756" max="10756" width="17.85546875" style="178" customWidth="1"/>
    <col min="10757" max="10757" width="19.7109375" style="178" customWidth="1"/>
    <col min="10758" max="10758" width="2.42578125" style="178" customWidth="1"/>
    <col min="10759" max="10759" width="19.42578125" style="178" customWidth="1"/>
    <col min="10760" max="10760" width="18.85546875" style="178" customWidth="1"/>
    <col min="10761" max="10761" width="20.28515625" style="178" customWidth="1"/>
    <col min="10762" max="10762" width="18.85546875" style="178" customWidth="1"/>
    <col min="10763" max="10763" width="16.7109375" style="178" customWidth="1"/>
    <col min="10764" max="10764" width="19.140625" style="178" customWidth="1"/>
    <col min="10765" max="10765" width="16.140625" style="178" customWidth="1"/>
    <col min="10766" max="10766" width="15.85546875" style="178" bestFit="1" customWidth="1"/>
    <col min="10767" max="10767" width="16.42578125" style="178" bestFit="1" customWidth="1"/>
    <col min="10768" max="10768" width="13.28515625" style="178" customWidth="1"/>
    <col min="10769" max="10769" width="16" style="178" customWidth="1"/>
    <col min="10770" max="11008" width="10.7109375" style="178"/>
    <col min="11009" max="11009" width="13.7109375" style="178" customWidth="1"/>
    <col min="11010" max="11010" width="78.7109375" style="178" customWidth="1"/>
    <col min="11011" max="11011" width="18" style="178" customWidth="1"/>
    <col min="11012" max="11012" width="17.85546875" style="178" customWidth="1"/>
    <col min="11013" max="11013" width="19.7109375" style="178" customWidth="1"/>
    <col min="11014" max="11014" width="2.42578125" style="178" customWidth="1"/>
    <col min="11015" max="11015" width="19.42578125" style="178" customWidth="1"/>
    <col min="11016" max="11016" width="18.85546875" style="178" customWidth="1"/>
    <col min="11017" max="11017" width="20.28515625" style="178" customWidth="1"/>
    <col min="11018" max="11018" width="18.85546875" style="178" customWidth="1"/>
    <col min="11019" max="11019" width="16.7109375" style="178" customWidth="1"/>
    <col min="11020" max="11020" width="19.140625" style="178" customWidth="1"/>
    <col min="11021" max="11021" width="16.140625" style="178" customWidth="1"/>
    <col min="11022" max="11022" width="15.85546875" style="178" bestFit="1" customWidth="1"/>
    <col min="11023" max="11023" width="16.42578125" style="178" bestFit="1" customWidth="1"/>
    <col min="11024" max="11024" width="13.28515625" style="178" customWidth="1"/>
    <col min="11025" max="11025" width="16" style="178" customWidth="1"/>
    <col min="11026" max="11264" width="10.7109375" style="178"/>
    <col min="11265" max="11265" width="13.7109375" style="178" customWidth="1"/>
    <col min="11266" max="11266" width="78.7109375" style="178" customWidth="1"/>
    <col min="11267" max="11267" width="18" style="178" customWidth="1"/>
    <col min="11268" max="11268" width="17.85546875" style="178" customWidth="1"/>
    <col min="11269" max="11269" width="19.7109375" style="178" customWidth="1"/>
    <col min="11270" max="11270" width="2.42578125" style="178" customWidth="1"/>
    <col min="11271" max="11271" width="19.42578125" style="178" customWidth="1"/>
    <col min="11272" max="11272" width="18.85546875" style="178" customWidth="1"/>
    <col min="11273" max="11273" width="20.28515625" style="178" customWidth="1"/>
    <col min="11274" max="11274" width="18.85546875" style="178" customWidth="1"/>
    <col min="11275" max="11275" width="16.7109375" style="178" customWidth="1"/>
    <col min="11276" max="11276" width="19.140625" style="178" customWidth="1"/>
    <col min="11277" max="11277" width="16.140625" style="178" customWidth="1"/>
    <col min="11278" max="11278" width="15.85546875" style="178" bestFit="1" customWidth="1"/>
    <col min="11279" max="11279" width="16.42578125" style="178" bestFit="1" customWidth="1"/>
    <col min="11280" max="11280" width="13.28515625" style="178" customWidth="1"/>
    <col min="11281" max="11281" width="16" style="178" customWidth="1"/>
    <col min="11282" max="11520" width="10.7109375" style="178"/>
    <col min="11521" max="11521" width="13.7109375" style="178" customWidth="1"/>
    <col min="11522" max="11522" width="78.7109375" style="178" customWidth="1"/>
    <col min="11523" max="11523" width="18" style="178" customWidth="1"/>
    <col min="11524" max="11524" width="17.85546875" style="178" customWidth="1"/>
    <col min="11525" max="11525" width="19.7109375" style="178" customWidth="1"/>
    <col min="11526" max="11526" width="2.42578125" style="178" customWidth="1"/>
    <col min="11527" max="11527" width="19.42578125" style="178" customWidth="1"/>
    <col min="11528" max="11528" width="18.85546875" style="178" customWidth="1"/>
    <col min="11529" max="11529" width="20.28515625" style="178" customWidth="1"/>
    <col min="11530" max="11530" width="18.85546875" style="178" customWidth="1"/>
    <col min="11531" max="11531" width="16.7109375" style="178" customWidth="1"/>
    <col min="11532" max="11532" width="19.140625" style="178" customWidth="1"/>
    <col min="11533" max="11533" width="16.140625" style="178" customWidth="1"/>
    <col min="11534" max="11534" width="15.85546875" style="178" bestFit="1" customWidth="1"/>
    <col min="11535" max="11535" width="16.42578125" style="178" bestFit="1" customWidth="1"/>
    <col min="11536" max="11536" width="13.28515625" style="178" customWidth="1"/>
    <col min="11537" max="11537" width="16" style="178" customWidth="1"/>
    <col min="11538" max="11776" width="10.7109375" style="178"/>
    <col min="11777" max="11777" width="13.7109375" style="178" customWidth="1"/>
    <col min="11778" max="11778" width="78.7109375" style="178" customWidth="1"/>
    <col min="11779" max="11779" width="18" style="178" customWidth="1"/>
    <col min="11780" max="11780" width="17.85546875" style="178" customWidth="1"/>
    <col min="11781" max="11781" width="19.7109375" style="178" customWidth="1"/>
    <col min="11782" max="11782" width="2.42578125" style="178" customWidth="1"/>
    <col min="11783" max="11783" width="19.42578125" style="178" customWidth="1"/>
    <col min="11784" max="11784" width="18.85546875" style="178" customWidth="1"/>
    <col min="11785" max="11785" width="20.28515625" style="178" customWidth="1"/>
    <col min="11786" max="11786" width="18.85546875" style="178" customWidth="1"/>
    <col min="11787" max="11787" width="16.7109375" style="178" customWidth="1"/>
    <col min="11788" max="11788" width="19.140625" style="178" customWidth="1"/>
    <col min="11789" max="11789" width="16.140625" style="178" customWidth="1"/>
    <col min="11790" max="11790" width="15.85546875" style="178" bestFit="1" customWidth="1"/>
    <col min="11791" max="11791" width="16.42578125" style="178" bestFit="1" customWidth="1"/>
    <col min="11792" max="11792" width="13.28515625" style="178" customWidth="1"/>
    <col min="11793" max="11793" width="16" style="178" customWidth="1"/>
    <col min="11794" max="12032" width="10.7109375" style="178"/>
    <col min="12033" max="12033" width="13.7109375" style="178" customWidth="1"/>
    <col min="12034" max="12034" width="78.7109375" style="178" customWidth="1"/>
    <col min="12035" max="12035" width="18" style="178" customWidth="1"/>
    <col min="12036" max="12036" width="17.85546875" style="178" customWidth="1"/>
    <col min="12037" max="12037" width="19.7109375" style="178" customWidth="1"/>
    <col min="12038" max="12038" width="2.42578125" style="178" customWidth="1"/>
    <col min="12039" max="12039" width="19.42578125" style="178" customWidth="1"/>
    <col min="12040" max="12040" width="18.85546875" style="178" customWidth="1"/>
    <col min="12041" max="12041" width="20.28515625" style="178" customWidth="1"/>
    <col min="12042" max="12042" width="18.85546875" style="178" customWidth="1"/>
    <col min="12043" max="12043" width="16.7109375" style="178" customWidth="1"/>
    <col min="12044" max="12044" width="19.140625" style="178" customWidth="1"/>
    <col min="12045" max="12045" width="16.140625" style="178" customWidth="1"/>
    <col min="12046" max="12046" width="15.85546875" style="178" bestFit="1" customWidth="1"/>
    <col min="12047" max="12047" width="16.42578125" style="178" bestFit="1" customWidth="1"/>
    <col min="12048" max="12048" width="13.28515625" style="178" customWidth="1"/>
    <col min="12049" max="12049" width="16" style="178" customWidth="1"/>
    <col min="12050" max="12288" width="10.7109375" style="178"/>
    <col min="12289" max="12289" width="13.7109375" style="178" customWidth="1"/>
    <col min="12290" max="12290" width="78.7109375" style="178" customWidth="1"/>
    <col min="12291" max="12291" width="18" style="178" customWidth="1"/>
    <col min="12292" max="12292" width="17.85546875" style="178" customWidth="1"/>
    <col min="12293" max="12293" width="19.7109375" style="178" customWidth="1"/>
    <col min="12294" max="12294" width="2.42578125" style="178" customWidth="1"/>
    <col min="12295" max="12295" width="19.42578125" style="178" customWidth="1"/>
    <col min="12296" max="12296" width="18.85546875" style="178" customWidth="1"/>
    <col min="12297" max="12297" width="20.28515625" style="178" customWidth="1"/>
    <col min="12298" max="12298" width="18.85546875" style="178" customWidth="1"/>
    <col min="12299" max="12299" width="16.7109375" style="178" customWidth="1"/>
    <col min="12300" max="12300" width="19.140625" style="178" customWidth="1"/>
    <col min="12301" max="12301" width="16.140625" style="178" customWidth="1"/>
    <col min="12302" max="12302" width="15.85546875" style="178" bestFit="1" customWidth="1"/>
    <col min="12303" max="12303" width="16.42578125" style="178" bestFit="1" customWidth="1"/>
    <col min="12304" max="12304" width="13.28515625" style="178" customWidth="1"/>
    <col min="12305" max="12305" width="16" style="178" customWidth="1"/>
    <col min="12306" max="12544" width="10.7109375" style="178"/>
    <col min="12545" max="12545" width="13.7109375" style="178" customWidth="1"/>
    <col min="12546" max="12546" width="78.7109375" style="178" customWidth="1"/>
    <col min="12547" max="12547" width="18" style="178" customWidth="1"/>
    <col min="12548" max="12548" width="17.85546875" style="178" customWidth="1"/>
    <col min="12549" max="12549" width="19.7109375" style="178" customWidth="1"/>
    <col min="12550" max="12550" width="2.42578125" style="178" customWidth="1"/>
    <col min="12551" max="12551" width="19.42578125" style="178" customWidth="1"/>
    <col min="12552" max="12552" width="18.85546875" style="178" customWidth="1"/>
    <col min="12553" max="12553" width="20.28515625" style="178" customWidth="1"/>
    <col min="12554" max="12554" width="18.85546875" style="178" customWidth="1"/>
    <col min="12555" max="12555" width="16.7109375" style="178" customWidth="1"/>
    <col min="12556" max="12556" width="19.140625" style="178" customWidth="1"/>
    <col min="12557" max="12557" width="16.140625" style="178" customWidth="1"/>
    <col min="12558" max="12558" width="15.85546875" style="178" bestFit="1" customWidth="1"/>
    <col min="12559" max="12559" width="16.42578125" style="178" bestFit="1" customWidth="1"/>
    <col min="12560" max="12560" width="13.28515625" style="178" customWidth="1"/>
    <col min="12561" max="12561" width="16" style="178" customWidth="1"/>
    <col min="12562" max="12800" width="10.7109375" style="178"/>
    <col min="12801" max="12801" width="13.7109375" style="178" customWidth="1"/>
    <col min="12802" max="12802" width="78.7109375" style="178" customWidth="1"/>
    <col min="12803" max="12803" width="18" style="178" customWidth="1"/>
    <col min="12804" max="12804" width="17.85546875" style="178" customWidth="1"/>
    <col min="12805" max="12805" width="19.7109375" style="178" customWidth="1"/>
    <col min="12806" max="12806" width="2.42578125" style="178" customWidth="1"/>
    <col min="12807" max="12807" width="19.42578125" style="178" customWidth="1"/>
    <col min="12808" max="12808" width="18.85546875" style="178" customWidth="1"/>
    <col min="12809" max="12809" width="20.28515625" style="178" customWidth="1"/>
    <col min="12810" max="12810" width="18.85546875" style="178" customWidth="1"/>
    <col min="12811" max="12811" width="16.7109375" style="178" customWidth="1"/>
    <col min="12812" max="12812" width="19.140625" style="178" customWidth="1"/>
    <col min="12813" max="12813" width="16.140625" style="178" customWidth="1"/>
    <col min="12814" max="12814" width="15.85546875" style="178" bestFit="1" customWidth="1"/>
    <col min="12815" max="12815" width="16.42578125" style="178" bestFit="1" customWidth="1"/>
    <col min="12816" max="12816" width="13.28515625" style="178" customWidth="1"/>
    <col min="12817" max="12817" width="16" style="178" customWidth="1"/>
    <col min="12818" max="13056" width="10.7109375" style="178"/>
    <col min="13057" max="13057" width="13.7109375" style="178" customWidth="1"/>
    <col min="13058" max="13058" width="78.7109375" style="178" customWidth="1"/>
    <col min="13059" max="13059" width="18" style="178" customWidth="1"/>
    <col min="13060" max="13060" width="17.85546875" style="178" customWidth="1"/>
    <col min="13061" max="13061" width="19.7109375" style="178" customWidth="1"/>
    <col min="13062" max="13062" width="2.42578125" style="178" customWidth="1"/>
    <col min="13063" max="13063" width="19.42578125" style="178" customWidth="1"/>
    <col min="13064" max="13064" width="18.85546875" style="178" customWidth="1"/>
    <col min="13065" max="13065" width="20.28515625" style="178" customWidth="1"/>
    <col min="13066" max="13066" width="18.85546875" style="178" customWidth="1"/>
    <col min="13067" max="13067" width="16.7109375" style="178" customWidth="1"/>
    <col min="13068" max="13068" width="19.140625" style="178" customWidth="1"/>
    <col min="13069" max="13069" width="16.140625" style="178" customWidth="1"/>
    <col min="13070" max="13070" width="15.85546875" style="178" bestFit="1" customWidth="1"/>
    <col min="13071" max="13071" width="16.42578125" style="178" bestFit="1" customWidth="1"/>
    <col min="13072" max="13072" width="13.28515625" style="178" customWidth="1"/>
    <col min="13073" max="13073" width="16" style="178" customWidth="1"/>
    <col min="13074" max="13312" width="10.7109375" style="178"/>
    <col min="13313" max="13313" width="13.7109375" style="178" customWidth="1"/>
    <col min="13314" max="13314" width="78.7109375" style="178" customWidth="1"/>
    <col min="13315" max="13315" width="18" style="178" customWidth="1"/>
    <col min="13316" max="13316" width="17.85546875" style="178" customWidth="1"/>
    <col min="13317" max="13317" width="19.7109375" style="178" customWidth="1"/>
    <col min="13318" max="13318" width="2.42578125" style="178" customWidth="1"/>
    <col min="13319" max="13319" width="19.42578125" style="178" customWidth="1"/>
    <col min="13320" max="13320" width="18.85546875" style="178" customWidth="1"/>
    <col min="13321" max="13321" width="20.28515625" style="178" customWidth="1"/>
    <col min="13322" max="13322" width="18.85546875" style="178" customWidth="1"/>
    <col min="13323" max="13323" width="16.7109375" style="178" customWidth="1"/>
    <col min="13324" max="13324" width="19.140625" style="178" customWidth="1"/>
    <col min="13325" max="13325" width="16.140625" style="178" customWidth="1"/>
    <col min="13326" max="13326" width="15.85546875" style="178" bestFit="1" customWidth="1"/>
    <col min="13327" max="13327" width="16.42578125" style="178" bestFit="1" customWidth="1"/>
    <col min="13328" max="13328" width="13.28515625" style="178" customWidth="1"/>
    <col min="13329" max="13329" width="16" style="178" customWidth="1"/>
    <col min="13330" max="13568" width="10.7109375" style="178"/>
    <col min="13569" max="13569" width="13.7109375" style="178" customWidth="1"/>
    <col min="13570" max="13570" width="78.7109375" style="178" customWidth="1"/>
    <col min="13571" max="13571" width="18" style="178" customWidth="1"/>
    <col min="13572" max="13572" width="17.85546875" style="178" customWidth="1"/>
    <col min="13573" max="13573" width="19.7109375" style="178" customWidth="1"/>
    <col min="13574" max="13574" width="2.42578125" style="178" customWidth="1"/>
    <col min="13575" max="13575" width="19.42578125" style="178" customWidth="1"/>
    <col min="13576" max="13576" width="18.85546875" style="178" customWidth="1"/>
    <col min="13577" max="13577" width="20.28515625" style="178" customWidth="1"/>
    <col min="13578" max="13578" width="18.85546875" style="178" customWidth="1"/>
    <col min="13579" max="13579" width="16.7109375" style="178" customWidth="1"/>
    <col min="13580" max="13580" width="19.140625" style="178" customWidth="1"/>
    <col min="13581" max="13581" width="16.140625" style="178" customWidth="1"/>
    <col min="13582" max="13582" width="15.85546875" style="178" bestFit="1" customWidth="1"/>
    <col min="13583" max="13583" width="16.42578125" style="178" bestFit="1" customWidth="1"/>
    <col min="13584" max="13584" width="13.28515625" style="178" customWidth="1"/>
    <col min="13585" max="13585" width="16" style="178" customWidth="1"/>
    <col min="13586" max="13824" width="10.7109375" style="178"/>
    <col min="13825" max="13825" width="13.7109375" style="178" customWidth="1"/>
    <col min="13826" max="13826" width="78.7109375" style="178" customWidth="1"/>
    <col min="13827" max="13827" width="18" style="178" customWidth="1"/>
    <col min="13828" max="13828" width="17.85546875" style="178" customWidth="1"/>
    <col min="13829" max="13829" width="19.7109375" style="178" customWidth="1"/>
    <col min="13830" max="13830" width="2.42578125" style="178" customWidth="1"/>
    <col min="13831" max="13831" width="19.42578125" style="178" customWidth="1"/>
    <col min="13832" max="13832" width="18.85546875" style="178" customWidth="1"/>
    <col min="13833" max="13833" width="20.28515625" style="178" customWidth="1"/>
    <col min="13834" max="13834" width="18.85546875" style="178" customWidth="1"/>
    <col min="13835" max="13835" width="16.7109375" style="178" customWidth="1"/>
    <col min="13836" max="13836" width="19.140625" style="178" customWidth="1"/>
    <col min="13837" max="13837" width="16.140625" style="178" customWidth="1"/>
    <col min="13838" max="13838" width="15.85546875" style="178" bestFit="1" customWidth="1"/>
    <col min="13839" max="13839" width="16.42578125" style="178" bestFit="1" customWidth="1"/>
    <col min="13840" max="13840" width="13.28515625" style="178" customWidth="1"/>
    <col min="13841" max="13841" width="16" style="178" customWidth="1"/>
    <col min="13842" max="14080" width="10.7109375" style="178"/>
    <col min="14081" max="14081" width="13.7109375" style="178" customWidth="1"/>
    <col min="14082" max="14082" width="78.7109375" style="178" customWidth="1"/>
    <col min="14083" max="14083" width="18" style="178" customWidth="1"/>
    <col min="14084" max="14084" width="17.85546875" style="178" customWidth="1"/>
    <col min="14085" max="14085" width="19.7109375" style="178" customWidth="1"/>
    <col min="14086" max="14086" width="2.42578125" style="178" customWidth="1"/>
    <col min="14087" max="14087" width="19.42578125" style="178" customWidth="1"/>
    <col min="14088" max="14088" width="18.85546875" style="178" customWidth="1"/>
    <col min="14089" max="14089" width="20.28515625" style="178" customWidth="1"/>
    <col min="14090" max="14090" width="18.85546875" style="178" customWidth="1"/>
    <col min="14091" max="14091" width="16.7109375" style="178" customWidth="1"/>
    <col min="14092" max="14092" width="19.140625" style="178" customWidth="1"/>
    <col min="14093" max="14093" width="16.140625" style="178" customWidth="1"/>
    <col min="14094" max="14094" width="15.85546875" style="178" bestFit="1" customWidth="1"/>
    <col min="14095" max="14095" width="16.42578125" style="178" bestFit="1" customWidth="1"/>
    <col min="14096" max="14096" width="13.28515625" style="178" customWidth="1"/>
    <col min="14097" max="14097" width="16" style="178" customWidth="1"/>
    <col min="14098" max="14336" width="10.7109375" style="178"/>
    <col min="14337" max="14337" width="13.7109375" style="178" customWidth="1"/>
    <col min="14338" max="14338" width="78.7109375" style="178" customWidth="1"/>
    <col min="14339" max="14339" width="18" style="178" customWidth="1"/>
    <col min="14340" max="14340" width="17.85546875" style="178" customWidth="1"/>
    <col min="14341" max="14341" width="19.7109375" style="178" customWidth="1"/>
    <col min="14342" max="14342" width="2.42578125" style="178" customWidth="1"/>
    <col min="14343" max="14343" width="19.42578125" style="178" customWidth="1"/>
    <col min="14344" max="14344" width="18.85546875" style="178" customWidth="1"/>
    <col min="14345" max="14345" width="20.28515625" style="178" customWidth="1"/>
    <col min="14346" max="14346" width="18.85546875" style="178" customWidth="1"/>
    <col min="14347" max="14347" width="16.7109375" style="178" customWidth="1"/>
    <col min="14348" max="14348" width="19.140625" style="178" customWidth="1"/>
    <col min="14349" max="14349" width="16.140625" style="178" customWidth="1"/>
    <col min="14350" max="14350" width="15.85546875" style="178" bestFit="1" customWidth="1"/>
    <col min="14351" max="14351" width="16.42578125" style="178" bestFit="1" customWidth="1"/>
    <col min="14352" max="14352" width="13.28515625" style="178" customWidth="1"/>
    <col min="14353" max="14353" width="16" style="178" customWidth="1"/>
    <col min="14354" max="14592" width="10.7109375" style="178"/>
    <col min="14593" max="14593" width="13.7109375" style="178" customWidth="1"/>
    <col min="14594" max="14594" width="78.7109375" style="178" customWidth="1"/>
    <col min="14595" max="14595" width="18" style="178" customWidth="1"/>
    <col min="14596" max="14596" width="17.85546875" style="178" customWidth="1"/>
    <col min="14597" max="14597" width="19.7109375" style="178" customWidth="1"/>
    <col min="14598" max="14598" width="2.42578125" style="178" customWidth="1"/>
    <col min="14599" max="14599" width="19.42578125" style="178" customWidth="1"/>
    <col min="14600" max="14600" width="18.85546875" style="178" customWidth="1"/>
    <col min="14601" max="14601" width="20.28515625" style="178" customWidth="1"/>
    <col min="14602" max="14602" width="18.85546875" style="178" customWidth="1"/>
    <col min="14603" max="14603" width="16.7109375" style="178" customWidth="1"/>
    <col min="14604" max="14604" width="19.140625" style="178" customWidth="1"/>
    <col min="14605" max="14605" width="16.140625" style="178" customWidth="1"/>
    <col min="14606" max="14606" width="15.85546875" style="178" bestFit="1" customWidth="1"/>
    <col min="14607" max="14607" width="16.42578125" style="178" bestFit="1" customWidth="1"/>
    <col min="14608" max="14608" width="13.28515625" style="178" customWidth="1"/>
    <col min="14609" max="14609" width="16" style="178" customWidth="1"/>
    <col min="14610" max="14848" width="10.7109375" style="178"/>
    <col min="14849" max="14849" width="13.7109375" style="178" customWidth="1"/>
    <col min="14850" max="14850" width="78.7109375" style="178" customWidth="1"/>
    <col min="14851" max="14851" width="18" style="178" customWidth="1"/>
    <col min="14852" max="14852" width="17.85546875" style="178" customWidth="1"/>
    <col min="14853" max="14853" width="19.7109375" style="178" customWidth="1"/>
    <col min="14854" max="14854" width="2.42578125" style="178" customWidth="1"/>
    <col min="14855" max="14855" width="19.42578125" style="178" customWidth="1"/>
    <col min="14856" max="14856" width="18.85546875" style="178" customWidth="1"/>
    <col min="14857" max="14857" width="20.28515625" style="178" customWidth="1"/>
    <col min="14858" max="14858" width="18.85546875" style="178" customWidth="1"/>
    <col min="14859" max="14859" width="16.7109375" style="178" customWidth="1"/>
    <col min="14860" max="14860" width="19.140625" style="178" customWidth="1"/>
    <col min="14861" max="14861" width="16.140625" style="178" customWidth="1"/>
    <col min="14862" max="14862" width="15.85546875" style="178" bestFit="1" customWidth="1"/>
    <col min="14863" max="14863" width="16.42578125" style="178" bestFit="1" customWidth="1"/>
    <col min="14864" max="14864" width="13.28515625" style="178" customWidth="1"/>
    <col min="14865" max="14865" width="16" style="178" customWidth="1"/>
    <col min="14866" max="15104" width="10.7109375" style="178"/>
    <col min="15105" max="15105" width="13.7109375" style="178" customWidth="1"/>
    <col min="15106" max="15106" width="78.7109375" style="178" customWidth="1"/>
    <col min="15107" max="15107" width="18" style="178" customWidth="1"/>
    <col min="15108" max="15108" width="17.85546875" style="178" customWidth="1"/>
    <col min="15109" max="15109" width="19.7109375" style="178" customWidth="1"/>
    <col min="15110" max="15110" width="2.42578125" style="178" customWidth="1"/>
    <col min="15111" max="15111" width="19.42578125" style="178" customWidth="1"/>
    <col min="15112" max="15112" width="18.85546875" style="178" customWidth="1"/>
    <col min="15113" max="15113" width="20.28515625" style="178" customWidth="1"/>
    <col min="15114" max="15114" width="18.85546875" style="178" customWidth="1"/>
    <col min="15115" max="15115" width="16.7109375" style="178" customWidth="1"/>
    <col min="15116" max="15116" width="19.140625" style="178" customWidth="1"/>
    <col min="15117" max="15117" width="16.140625" style="178" customWidth="1"/>
    <col min="15118" max="15118" width="15.85546875" style="178" bestFit="1" customWidth="1"/>
    <col min="15119" max="15119" width="16.42578125" style="178" bestFit="1" customWidth="1"/>
    <col min="15120" max="15120" width="13.28515625" style="178" customWidth="1"/>
    <col min="15121" max="15121" width="16" style="178" customWidth="1"/>
    <col min="15122" max="15360" width="10.7109375" style="178"/>
    <col min="15361" max="15361" width="13.7109375" style="178" customWidth="1"/>
    <col min="15362" max="15362" width="78.7109375" style="178" customWidth="1"/>
    <col min="15363" max="15363" width="18" style="178" customWidth="1"/>
    <col min="15364" max="15364" width="17.85546875" style="178" customWidth="1"/>
    <col min="15365" max="15365" width="19.7109375" style="178" customWidth="1"/>
    <col min="15366" max="15366" width="2.42578125" style="178" customWidth="1"/>
    <col min="15367" max="15367" width="19.42578125" style="178" customWidth="1"/>
    <col min="15368" max="15368" width="18.85546875" style="178" customWidth="1"/>
    <col min="15369" max="15369" width="20.28515625" style="178" customWidth="1"/>
    <col min="15370" max="15370" width="18.85546875" style="178" customWidth="1"/>
    <col min="15371" max="15371" width="16.7109375" style="178" customWidth="1"/>
    <col min="15372" max="15372" width="19.140625" style="178" customWidth="1"/>
    <col min="15373" max="15373" width="16.140625" style="178" customWidth="1"/>
    <col min="15374" max="15374" width="15.85546875" style="178" bestFit="1" customWidth="1"/>
    <col min="15375" max="15375" width="16.42578125" style="178" bestFit="1" customWidth="1"/>
    <col min="15376" max="15376" width="13.28515625" style="178" customWidth="1"/>
    <col min="15377" max="15377" width="16" style="178" customWidth="1"/>
    <col min="15378" max="15616" width="10.7109375" style="178"/>
    <col min="15617" max="15617" width="13.7109375" style="178" customWidth="1"/>
    <col min="15618" max="15618" width="78.7109375" style="178" customWidth="1"/>
    <col min="15619" max="15619" width="18" style="178" customWidth="1"/>
    <col min="15620" max="15620" width="17.85546875" style="178" customWidth="1"/>
    <col min="15621" max="15621" width="19.7109375" style="178" customWidth="1"/>
    <col min="15622" max="15622" width="2.42578125" style="178" customWidth="1"/>
    <col min="15623" max="15623" width="19.42578125" style="178" customWidth="1"/>
    <col min="15624" max="15624" width="18.85546875" style="178" customWidth="1"/>
    <col min="15625" max="15625" width="20.28515625" style="178" customWidth="1"/>
    <col min="15626" max="15626" width="18.85546875" style="178" customWidth="1"/>
    <col min="15627" max="15627" width="16.7109375" style="178" customWidth="1"/>
    <col min="15628" max="15628" width="19.140625" style="178" customWidth="1"/>
    <col min="15629" max="15629" width="16.140625" style="178" customWidth="1"/>
    <col min="15630" max="15630" width="15.85546875" style="178" bestFit="1" customWidth="1"/>
    <col min="15631" max="15631" width="16.42578125" style="178" bestFit="1" customWidth="1"/>
    <col min="15632" max="15632" width="13.28515625" style="178" customWidth="1"/>
    <col min="15633" max="15633" width="16" style="178" customWidth="1"/>
    <col min="15634" max="15872" width="10.7109375" style="178"/>
    <col min="15873" max="15873" width="13.7109375" style="178" customWidth="1"/>
    <col min="15874" max="15874" width="78.7109375" style="178" customWidth="1"/>
    <col min="15875" max="15875" width="18" style="178" customWidth="1"/>
    <col min="15876" max="15876" width="17.85546875" style="178" customWidth="1"/>
    <col min="15877" max="15877" width="19.7109375" style="178" customWidth="1"/>
    <col min="15878" max="15878" width="2.42578125" style="178" customWidth="1"/>
    <col min="15879" max="15879" width="19.42578125" style="178" customWidth="1"/>
    <col min="15880" max="15880" width="18.85546875" style="178" customWidth="1"/>
    <col min="15881" max="15881" width="20.28515625" style="178" customWidth="1"/>
    <col min="15882" max="15882" width="18.85546875" style="178" customWidth="1"/>
    <col min="15883" max="15883" width="16.7109375" style="178" customWidth="1"/>
    <col min="15884" max="15884" width="19.140625" style="178" customWidth="1"/>
    <col min="15885" max="15885" width="16.140625" style="178" customWidth="1"/>
    <col min="15886" max="15886" width="15.85546875" style="178" bestFit="1" customWidth="1"/>
    <col min="15887" max="15887" width="16.42578125" style="178" bestFit="1" customWidth="1"/>
    <col min="15888" max="15888" width="13.28515625" style="178" customWidth="1"/>
    <col min="15889" max="15889" width="16" style="178" customWidth="1"/>
    <col min="15890" max="16128" width="10.7109375" style="178"/>
    <col min="16129" max="16129" width="13.7109375" style="178" customWidth="1"/>
    <col min="16130" max="16130" width="78.7109375" style="178" customWidth="1"/>
    <col min="16131" max="16131" width="18" style="178" customWidth="1"/>
    <col min="16132" max="16132" width="17.85546875" style="178" customWidth="1"/>
    <col min="16133" max="16133" width="19.7109375" style="178" customWidth="1"/>
    <col min="16134" max="16134" width="2.42578125" style="178" customWidth="1"/>
    <col min="16135" max="16135" width="19.42578125" style="178" customWidth="1"/>
    <col min="16136" max="16136" width="18.85546875" style="178" customWidth="1"/>
    <col min="16137" max="16137" width="20.28515625" style="178" customWidth="1"/>
    <col min="16138" max="16138" width="18.85546875" style="178" customWidth="1"/>
    <col min="16139" max="16139" width="16.7109375" style="178" customWidth="1"/>
    <col min="16140" max="16140" width="19.140625" style="178" customWidth="1"/>
    <col min="16141" max="16141" width="16.140625" style="178" customWidth="1"/>
    <col min="16142" max="16142" width="15.85546875" style="178" bestFit="1" customWidth="1"/>
    <col min="16143" max="16143" width="16.42578125" style="178" bestFit="1" customWidth="1"/>
    <col min="16144" max="16144" width="13.28515625" style="178" customWidth="1"/>
    <col min="16145" max="16145" width="16" style="178" customWidth="1"/>
    <col min="16146" max="16384" width="10.7109375" style="178"/>
  </cols>
  <sheetData>
    <row r="1" spans="1:18" ht="13.5" thickBot="1" x14ac:dyDescent="0.25">
      <c r="A1" s="1099" t="s">
        <v>3376</v>
      </c>
      <c r="B1" s="1099"/>
      <c r="C1" s="1099"/>
      <c r="D1" s="1099"/>
      <c r="E1" s="1099"/>
      <c r="F1" s="1099"/>
      <c r="G1" s="1100" t="s">
        <v>3377</v>
      </c>
      <c r="H1" s="1100"/>
      <c r="I1" s="1100"/>
      <c r="J1" s="1100"/>
      <c r="K1" s="1100"/>
      <c r="L1" s="1100"/>
      <c r="M1" s="178"/>
      <c r="N1" s="178"/>
      <c r="O1" s="178"/>
      <c r="P1" s="178"/>
      <c r="Q1" s="178"/>
      <c r="R1" s="178"/>
    </row>
    <row r="2" spans="1:18" ht="26.25" thickBot="1" x14ac:dyDescent="0.25">
      <c r="A2" s="709" t="s">
        <v>33</v>
      </c>
      <c r="B2" s="709" t="s">
        <v>2357</v>
      </c>
      <c r="C2" s="710" t="s">
        <v>34</v>
      </c>
      <c r="D2" s="710" t="s">
        <v>531</v>
      </c>
      <c r="E2" s="710" t="s">
        <v>35</v>
      </c>
      <c r="F2" s="711"/>
      <c r="G2" s="710" t="s">
        <v>695</v>
      </c>
      <c r="H2" s="710" t="s">
        <v>85</v>
      </c>
      <c r="I2" s="710" t="s">
        <v>696</v>
      </c>
      <c r="J2" s="710" t="s">
        <v>531</v>
      </c>
      <c r="K2" s="710" t="s">
        <v>694</v>
      </c>
      <c r="L2" s="712" t="s">
        <v>35</v>
      </c>
      <c r="M2" s="178"/>
      <c r="N2" s="178"/>
      <c r="O2" s="178"/>
      <c r="P2" s="178"/>
      <c r="Q2" s="178"/>
      <c r="R2" s="178"/>
    </row>
    <row r="3" spans="1:18" ht="12.75" x14ac:dyDescent="0.2">
      <c r="A3" s="713">
        <v>1302</v>
      </c>
      <c r="B3" s="233" t="s">
        <v>2754</v>
      </c>
      <c r="C3" s="310">
        <v>0</v>
      </c>
      <c r="D3" s="310">
        <v>0</v>
      </c>
      <c r="E3" s="310">
        <f>C3-D3</f>
        <v>0</v>
      </c>
      <c r="F3" s="711"/>
      <c r="G3" s="310">
        <v>199110.46</v>
      </c>
      <c r="H3" s="310">
        <f>I3-G3</f>
        <v>0</v>
      </c>
      <c r="I3" s="310">
        <v>199110.46</v>
      </c>
      <c r="J3" s="310">
        <f>D3</f>
        <v>0</v>
      </c>
      <c r="K3" s="310">
        <v>0</v>
      </c>
      <c r="L3" s="739">
        <f>I3-J3-K3</f>
        <v>199110.46</v>
      </c>
      <c r="M3" s="178"/>
      <c r="N3" s="178"/>
      <c r="O3" s="178"/>
      <c r="P3" s="178"/>
      <c r="Q3" s="178"/>
      <c r="R3" s="178"/>
    </row>
    <row r="4" spans="1:18" ht="12.75" x14ac:dyDescent="0.2">
      <c r="A4" s="713">
        <v>1303</v>
      </c>
      <c r="B4" s="233" t="s">
        <v>3554</v>
      </c>
      <c r="C4" s="310">
        <v>0</v>
      </c>
      <c r="D4" s="310">
        <v>0</v>
      </c>
      <c r="E4" s="310">
        <f t="shared" ref="E4:E67" si="0">C4-D4</f>
        <v>0</v>
      </c>
      <c r="F4" s="711"/>
      <c r="G4" s="310">
        <v>4210609.32</v>
      </c>
      <c r="H4" s="310">
        <f>I4-G4</f>
        <v>0</v>
      </c>
      <c r="I4" s="310">
        <v>4210609.32</v>
      </c>
      <c r="J4" s="310">
        <f>D4</f>
        <v>0</v>
      </c>
      <c r="K4" s="310">
        <v>0</v>
      </c>
      <c r="L4" s="739">
        <f t="shared" ref="L4:L68" si="1">I4-J4-K4</f>
        <v>4210609.32</v>
      </c>
      <c r="M4" s="178"/>
      <c r="N4" s="178"/>
      <c r="O4" s="178"/>
      <c r="P4" s="178"/>
      <c r="Q4" s="178"/>
      <c r="R4" s="178"/>
    </row>
    <row r="5" spans="1:18" ht="12.75" x14ac:dyDescent="0.2">
      <c r="A5" s="713">
        <v>1307</v>
      </c>
      <c r="B5" s="233" t="s">
        <v>2755</v>
      </c>
      <c r="C5" s="310">
        <v>5106410.4000000004</v>
      </c>
      <c r="D5" s="310">
        <v>0</v>
      </c>
      <c r="E5" s="310">
        <f t="shared" si="0"/>
        <v>5106410.4000000004</v>
      </c>
      <c r="F5" s="711"/>
      <c r="G5" s="310">
        <v>40196039.200000003</v>
      </c>
      <c r="H5" s="310">
        <f t="shared" ref="H5:H68" si="2">I5-G5</f>
        <v>5106410.3999999985</v>
      </c>
      <c r="I5" s="310">
        <v>45302449.600000001</v>
      </c>
      <c r="J5" s="310">
        <f>D5</f>
        <v>0</v>
      </c>
      <c r="K5" s="310">
        <v>5106410.4000000004</v>
      </c>
      <c r="L5" s="739">
        <f t="shared" si="1"/>
        <v>40196039.200000003</v>
      </c>
      <c r="M5" s="178"/>
      <c r="N5" s="178"/>
      <c r="O5" s="178"/>
      <c r="P5" s="178"/>
      <c r="Q5" s="178"/>
      <c r="R5" s="178"/>
    </row>
    <row r="6" spans="1:18" ht="12.75" x14ac:dyDescent="0.2">
      <c r="A6" s="713">
        <v>1308</v>
      </c>
      <c r="B6" s="233" t="s">
        <v>1680</v>
      </c>
      <c r="C6" s="310">
        <v>2018352</v>
      </c>
      <c r="D6" s="310">
        <v>0</v>
      </c>
      <c r="E6" s="310">
        <f t="shared" si="0"/>
        <v>2018352</v>
      </c>
      <c r="F6" s="711"/>
      <c r="G6" s="310">
        <v>0</v>
      </c>
      <c r="H6" s="310">
        <f t="shared" si="2"/>
        <v>2018352</v>
      </c>
      <c r="I6" s="310">
        <v>2018352</v>
      </c>
      <c r="J6" s="310">
        <f t="shared" ref="J6:J69" si="3">D6</f>
        <v>0</v>
      </c>
      <c r="K6" s="310">
        <v>2018352</v>
      </c>
      <c r="L6" s="739">
        <f t="shared" si="1"/>
        <v>0</v>
      </c>
      <c r="M6" s="178"/>
      <c r="N6" s="178"/>
      <c r="O6" s="178"/>
      <c r="P6" s="178"/>
      <c r="Q6" s="178"/>
      <c r="R6" s="178"/>
    </row>
    <row r="7" spans="1:18" ht="12.75" x14ac:dyDescent="0.2">
      <c r="A7" s="713">
        <v>1309</v>
      </c>
      <c r="B7" s="233" t="s">
        <v>2322</v>
      </c>
      <c r="C7" s="310">
        <v>0</v>
      </c>
      <c r="D7" s="310">
        <v>0</v>
      </c>
      <c r="E7" s="310">
        <f t="shared" si="0"/>
        <v>0</v>
      </c>
      <c r="F7" s="711"/>
      <c r="G7" s="310">
        <v>9395520.9000000004</v>
      </c>
      <c r="H7" s="310">
        <f t="shared" si="2"/>
        <v>0</v>
      </c>
      <c r="I7" s="310">
        <v>9395520.9000000004</v>
      </c>
      <c r="J7" s="310">
        <f t="shared" si="3"/>
        <v>0</v>
      </c>
      <c r="K7" s="310">
        <v>0</v>
      </c>
      <c r="L7" s="739">
        <f t="shared" si="1"/>
        <v>9395520.9000000004</v>
      </c>
      <c r="M7" s="178"/>
      <c r="N7" s="178"/>
      <c r="O7" s="178"/>
      <c r="P7" s="178"/>
      <c r="Q7" s="178"/>
      <c r="R7" s="178"/>
    </row>
    <row r="8" spans="1:18" ht="12.75" x14ac:dyDescent="0.2">
      <c r="A8" s="713">
        <v>1310</v>
      </c>
      <c r="B8" s="233" t="s">
        <v>2756</v>
      </c>
      <c r="C8" s="310">
        <v>0</v>
      </c>
      <c r="D8" s="310">
        <v>0</v>
      </c>
      <c r="E8" s="310">
        <f t="shared" si="0"/>
        <v>0</v>
      </c>
      <c r="F8" s="711"/>
      <c r="G8" s="310">
        <v>5368714.75</v>
      </c>
      <c r="H8" s="310">
        <f t="shared" si="2"/>
        <v>0</v>
      </c>
      <c r="I8" s="310">
        <v>5368714.75</v>
      </c>
      <c r="J8" s="310">
        <f t="shared" si="3"/>
        <v>0</v>
      </c>
      <c r="K8" s="310">
        <v>0</v>
      </c>
      <c r="L8" s="739">
        <f t="shared" si="1"/>
        <v>5368714.75</v>
      </c>
      <c r="M8" s="178"/>
      <c r="N8" s="178"/>
      <c r="O8" s="178"/>
      <c r="P8" s="178"/>
      <c r="Q8" s="178"/>
      <c r="R8" s="178"/>
    </row>
    <row r="9" spans="1:18" ht="12.75" x14ac:dyDescent="0.2">
      <c r="A9" s="713">
        <v>1311</v>
      </c>
      <c r="B9" s="233" t="s">
        <v>2757</v>
      </c>
      <c r="C9" s="310">
        <v>1388326401.45</v>
      </c>
      <c r="D9" s="310">
        <v>56182480.5</v>
      </c>
      <c r="E9" s="310">
        <f t="shared" si="0"/>
        <v>1332143920.95</v>
      </c>
      <c r="F9" s="711"/>
      <c r="G9" s="310">
        <v>895076064.1500001</v>
      </c>
      <c r="H9" s="310">
        <f t="shared" si="2"/>
        <v>400328326.44999981</v>
      </c>
      <c r="I9" s="310">
        <v>1295404390.5999999</v>
      </c>
      <c r="J9" s="310">
        <f t="shared" si="3"/>
        <v>56182480.5</v>
      </c>
      <c r="K9" s="310">
        <v>405170854.80000001</v>
      </c>
      <c r="L9" s="739">
        <f t="shared" si="1"/>
        <v>834051055.29999995</v>
      </c>
      <c r="M9" s="178"/>
      <c r="N9" s="178"/>
      <c r="O9" s="178"/>
      <c r="P9" s="178"/>
      <c r="Q9" s="178"/>
      <c r="R9" s="178"/>
    </row>
    <row r="10" spans="1:18" ht="12.75" x14ac:dyDescent="0.2">
      <c r="A10" s="713">
        <v>1317</v>
      </c>
      <c r="B10" s="233" t="s">
        <v>3555</v>
      </c>
      <c r="C10" s="310">
        <v>36367396</v>
      </c>
      <c r="D10" s="310">
        <v>11266231.880000001</v>
      </c>
      <c r="E10" s="310">
        <f t="shared" si="0"/>
        <v>25101164.119999997</v>
      </c>
      <c r="F10" s="711"/>
      <c r="G10" s="310">
        <v>11492163.33</v>
      </c>
      <c r="H10" s="310">
        <f t="shared" si="2"/>
        <v>0</v>
      </c>
      <c r="I10" s="310">
        <v>11492163.33</v>
      </c>
      <c r="J10" s="310">
        <f t="shared" si="3"/>
        <v>11266231.880000001</v>
      </c>
      <c r="K10" s="310">
        <v>0</v>
      </c>
      <c r="L10" s="739">
        <f t="shared" si="1"/>
        <v>225931.44999999925</v>
      </c>
      <c r="M10" s="178"/>
      <c r="N10" s="178"/>
      <c r="O10" s="178"/>
      <c r="P10" s="178"/>
      <c r="Q10" s="178"/>
      <c r="R10" s="178"/>
    </row>
    <row r="11" spans="1:18" ht="12.75" x14ac:dyDescent="0.2">
      <c r="A11" s="713">
        <v>1319</v>
      </c>
      <c r="B11" s="233" t="s">
        <v>2758</v>
      </c>
      <c r="C11" s="310">
        <v>0</v>
      </c>
      <c r="D11" s="310">
        <v>0</v>
      </c>
      <c r="E11" s="310">
        <f t="shared" si="0"/>
        <v>0</v>
      </c>
      <c r="F11" s="711"/>
      <c r="G11" s="310">
        <v>21000000</v>
      </c>
      <c r="H11" s="310">
        <f t="shared" si="2"/>
        <v>0</v>
      </c>
      <c r="I11" s="310">
        <v>21000000</v>
      </c>
      <c r="J11" s="310">
        <f t="shared" si="3"/>
        <v>0</v>
      </c>
      <c r="K11" s="310">
        <v>0</v>
      </c>
      <c r="L11" s="739">
        <f t="shared" si="1"/>
        <v>21000000</v>
      </c>
      <c r="M11" s="178"/>
      <c r="N11" s="178"/>
      <c r="O11" s="178"/>
      <c r="P11" s="178"/>
      <c r="Q11" s="178"/>
      <c r="R11" s="178"/>
    </row>
    <row r="12" spans="1:18" ht="12.75" x14ac:dyDescent="0.2">
      <c r="A12" s="713">
        <v>1322</v>
      </c>
      <c r="B12" s="233" t="s">
        <v>2759</v>
      </c>
      <c r="C12" s="310">
        <v>0</v>
      </c>
      <c r="D12" s="310">
        <v>0</v>
      </c>
      <c r="E12" s="310">
        <f t="shared" si="0"/>
        <v>0</v>
      </c>
      <c r="F12" s="711"/>
      <c r="G12" s="310">
        <v>922293.4</v>
      </c>
      <c r="H12" s="310">
        <f t="shared" si="2"/>
        <v>0</v>
      </c>
      <c r="I12" s="310">
        <v>922293.4</v>
      </c>
      <c r="J12" s="310">
        <f t="shared" si="3"/>
        <v>0</v>
      </c>
      <c r="K12" s="310">
        <v>0</v>
      </c>
      <c r="L12" s="739">
        <f t="shared" si="1"/>
        <v>922293.4</v>
      </c>
      <c r="M12" s="178"/>
      <c r="N12" s="178"/>
      <c r="O12" s="178"/>
      <c r="P12" s="178"/>
      <c r="Q12" s="178"/>
      <c r="R12" s="178"/>
    </row>
    <row r="13" spans="1:18" ht="12.75" x14ac:dyDescent="0.2">
      <c r="A13" s="713">
        <v>1324</v>
      </c>
      <c r="B13" s="233" t="s">
        <v>879</v>
      </c>
      <c r="C13" s="310">
        <v>18963673.629999999</v>
      </c>
      <c r="D13" s="310">
        <v>1898778.4</v>
      </c>
      <c r="E13" s="310">
        <f t="shared" si="0"/>
        <v>17064895.23</v>
      </c>
      <c r="F13" s="711"/>
      <c r="G13" s="310">
        <v>2207656.629999999</v>
      </c>
      <c r="H13" s="310">
        <f t="shared" si="2"/>
        <v>10562000.000000002</v>
      </c>
      <c r="I13" s="310">
        <v>12769656.630000001</v>
      </c>
      <c r="J13" s="310">
        <f t="shared" si="3"/>
        <v>1898778.4</v>
      </c>
      <c r="K13" s="310">
        <v>10000000</v>
      </c>
      <c r="L13" s="739">
        <f t="shared" si="1"/>
        <v>870878.23000000045</v>
      </c>
      <c r="M13" s="178"/>
      <c r="N13" s="178"/>
      <c r="O13" s="178"/>
      <c r="P13" s="178"/>
      <c r="Q13" s="178"/>
      <c r="R13" s="178"/>
    </row>
    <row r="14" spans="1:18" ht="12.75" x14ac:dyDescent="0.2">
      <c r="A14" s="713">
        <v>1326</v>
      </c>
      <c r="B14" s="233" t="s">
        <v>2760</v>
      </c>
      <c r="C14" s="310">
        <v>15661481.65</v>
      </c>
      <c r="D14" s="310">
        <v>8716951.0899999999</v>
      </c>
      <c r="E14" s="310">
        <f t="shared" si="0"/>
        <v>6944530.5600000005</v>
      </c>
      <c r="F14" s="711"/>
      <c r="G14" s="310">
        <v>444498.54999999981</v>
      </c>
      <c r="H14" s="310">
        <f t="shared" si="2"/>
        <v>28368989.029999997</v>
      </c>
      <c r="I14" s="310">
        <v>28813487.579999998</v>
      </c>
      <c r="J14" s="310">
        <f t="shared" si="3"/>
        <v>8716951.0899999999</v>
      </c>
      <c r="K14" s="310">
        <v>263719.09999999998</v>
      </c>
      <c r="L14" s="739">
        <f t="shared" si="1"/>
        <v>19832817.389999997</v>
      </c>
      <c r="M14" s="178"/>
      <c r="N14" s="178"/>
      <c r="O14" s="178"/>
      <c r="P14" s="178"/>
      <c r="Q14" s="178"/>
      <c r="R14" s="178"/>
    </row>
    <row r="15" spans="1:18" ht="12.75" x14ac:dyDescent="0.2">
      <c r="A15" s="713">
        <v>1327</v>
      </c>
      <c r="B15" s="233" t="s">
        <v>2761</v>
      </c>
      <c r="C15" s="310">
        <v>0</v>
      </c>
      <c r="D15" s="310">
        <v>0</v>
      </c>
      <c r="E15" s="310">
        <f t="shared" si="0"/>
        <v>0</v>
      </c>
      <c r="F15" s="711"/>
      <c r="G15" s="310">
        <v>253907.97</v>
      </c>
      <c r="H15" s="310">
        <f t="shared" si="2"/>
        <v>0</v>
      </c>
      <c r="I15" s="310">
        <v>253907.97</v>
      </c>
      <c r="J15" s="310">
        <f t="shared" si="3"/>
        <v>0</v>
      </c>
      <c r="K15" s="310">
        <v>0</v>
      </c>
      <c r="L15" s="739">
        <f t="shared" si="1"/>
        <v>253907.97</v>
      </c>
      <c r="M15" s="178"/>
      <c r="N15" s="178"/>
      <c r="O15" s="178"/>
      <c r="P15" s="178"/>
      <c r="Q15" s="178"/>
      <c r="R15" s="178"/>
    </row>
    <row r="16" spans="1:18" ht="12.75" x14ac:dyDescent="0.2">
      <c r="A16" s="713">
        <v>1328</v>
      </c>
      <c r="B16" s="233" t="s">
        <v>2762</v>
      </c>
      <c r="C16" s="310">
        <v>11963335.619999999</v>
      </c>
      <c r="D16" s="310">
        <v>6246397.5599999996</v>
      </c>
      <c r="E16" s="310">
        <f t="shared" si="0"/>
        <v>5716938.0599999996</v>
      </c>
      <c r="F16" s="711"/>
      <c r="G16" s="310">
        <v>0</v>
      </c>
      <c r="H16" s="310">
        <f t="shared" si="2"/>
        <v>11577215.630000001</v>
      </c>
      <c r="I16" s="310">
        <v>11577215.630000001</v>
      </c>
      <c r="J16" s="310">
        <f t="shared" si="3"/>
        <v>6246397.5599999996</v>
      </c>
      <c r="K16" s="310">
        <v>0</v>
      </c>
      <c r="L16" s="739">
        <f t="shared" si="1"/>
        <v>5330818.0700000012</v>
      </c>
      <c r="M16" s="178"/>
      <c r="N16" s="178"/>
      <c r="O16" s="178"/>
      <c r="P16" s="178"/>
      <c r="Q16" s="178"/>
      <c r="R16" s="178"/>
    </row>
    <row r="17" spans="1:18" ht="12.75" x14ac:dyDescent="0.2">
      <c r="A17" s="713">
        <v>1331</v>
      </c>
      <c r="B17" s="233" t="s">
        <v>2763</v>
      </c>
      <c r="C17" s="310">
        <v>0</v>
      </c>
      <c r="D17" s="310">
        <v>0</v>
      </c>
      <c r="E17" s="310">
        <f t="shared" si="0"/>
        <v>0</v>
      </c>
      <c r="F17" s="711"/>
      <c r="G17" s="310">
        <v>584078.93999999994</v>
      </c>
      <c r="H17" s="310">
        <f t="shared" si="2"/>
        <v>0</v>
      </c>
      <c r="I17" s="310">
        <v>584078.93999999994</v>
      </c>
      <c r="J17" s="310">
        <f t="shared" si="3"/>
        <v>0</v>
      </c>
      <c r="K17" s="310">
        <v>0</v>
      </c>
      <c r="L17" s="739">
        <f t="shared" si="1"/>
        <v>584078.93999999994</v>
      </c>
      <c r="M17" s="178"/>
      <c r="N17" s="178"/>
      <c r="O17" s="178"/>
      <c r="P17" s="178"/>
      <c r="Q17" s="178"/>
      <c r="R17" s="178"/>
    </row>
    <row r="18" spans="1:18" ht="12.75" x14ac:dyDescent="0.2">
      <c r="A18" s="713">
        <v>1336</v>
      </c>
      <c r="B18" s="233" t="s">
        <v>2323</v>
      </c>
      <c r="C18" s="310">
        <v>1563136.13</v>
      </c>
      <c r="D18" s="310">
        <v>391627.05</v>
      </c>
      <c r="E18" s="310">
        <f t="shared" si="0"/>
        <v>1171509.0799999998</v>
      </c>
      <c r="F18" s="711"/>
      <c r="G18" s="310">
        <v>1563136.13</v>
      </c>
      <c r="H18" s="310">
        <f t="shared" si="2"/>
        <v>0</v>
      </c>
      <c r="I18" s="310">
        <v>1563136.13</v>
      </c>
      <c r="J18" s="310">
        <f t="shared" si="3"/>
        <v>391627.05</v>
      </c>
      <c r="K18" s="310">
        <v>0</v>
      </c>
      <c r="L18" s="739">
        <f t="shared" si="1"/>
        <v>1171509.0799999998</v>
      </c>
      <c r="M18" s="178"/>
      <c r="N18" s="178"/>
      <c r="O18" s="178"/>
      <c r="P18" s="178"/>
      <c r="Q18" s="178"/>
      <c r="R18" s="178"/>
    </row>
    <row r="19" spans="1:18" ht="12.75" x14ac:dyDescent="0.2">
      <c r="A19" s="713">
        <v>1351</v>
      </c>
      <c r="B19" s="233" t="s">
        <v>1681</v>
      </c>
      <c r="C19" s="310">
        <v>0</v>
      </c>
      <c r="D19" s="310">
        <v>0</v>
      </c>
      <c r="E19" s="310">
        <f t="shared" si="0"/>
        <v>0</v>
      </c>
      <c r="F19" s="711"/>
      <c r="G19" s="310">
        <v>1681729.72</v>
      </c>
      <c r="H19" s="310">
        <f t="shared" si="2"/>
        <v>0</v>
      </c>
      <c r="I19" s="310">
        <v>1681729.72</v>
      </c>
      <c r="J19" s="310">
        <f t="shared" si="3"/>
        <v>0</v>
      </c>
      <c r="K19" s="310">
        <v>0</v>
      </c>
      <c r="L19" s="739">
        <f t="shared" si="1"/>
        <v>1681729.72</v>
      </c>
      <c r="M19" s="178"/>
      <c r="N19" s="178"/>
      <c r="O19" s="178"/>
      <c r="P19" s="178"/>
      <c r="Q19" s="178"/>
      <c r="R19" s="178"/>
    </row>
    <row r="20" spans="1:18" ht="12.75" x14ac:dyDescent="0.2">
      <c r="A20" s="713">
        <v>1352</v>
      </c>
      <c r="B20" s="233" t="s">
        <v>881</v>
      </c>
      <c r="C20" s="310">
        <v>3703507.02</v>
      </c>
      <c r="D20" s="310">
        <v>0</v>
      </c>
      <c r="E20" s="310">
        <f t="shared" si="0"/>
        <v>3703507.02</v>
      </c>
      <c r="F20" s="711"/>
      <c r="G20" s="310">
        <v>1703507.02</v>
      </c>
      <c r="H20" s="310">
        <f t="shared" si="2"/>
        <v>0</v>
      </c>
      <c r="I20" s="310">
        <v>1703507.02</v>
      </c>
      <c r="J20" s="310">
        <f t="shared" si="3"/>
        <v>0</v>
      </c>
      <c r="K20" s="310">
        <v>0</v>
      </c>
      <c r="L20" s="739">
        <f t="shared" si="1"/>
        <v>1703507.02</v>
      </c>
      <c r="M20" s="178"/>
      <c r="N20" s="178"/>
      <c r="O20" s="178"/>
      <c r="P20" s="178"/>
      <c r="Q20" s="178"/>
      <c r="R20" s="178"/>
    </row>
    <row r="21" spans="1:18" ht="12.75" x14ac:dyDescent="0.2">
      <c r="A21" s="713">
        <v>1355</v>
      </c>
      <c r="B21" s="233" t="s">
        <v>2324</v>
      </c>
      <c r="C21" s="310">
        <v>0</v>
      </c>
      <c r="D21" s="310">
        <v>0</v>
      </c>
      <c r="E21" s="310">
        <f t="shared" si="0"/>
        <v>0</v>
      </c>
      <c r="F21" s="711"/>
      <c r="G21" s="310">
        <v>192469241.24000001</v>
      </c>
      <c r="H21" s="310">
        <f t="shared" si="2"/>
        <v>0</v>
      </c>
      <c r="I21" s="310">
        <v>192469241.24000001</v>
      </c>
      <c r="J21" s="310">
        <f t="shared" si="3"/>
        <v>0</v>
      </c>
      <c r="K21" s="310">
        <v>0</v>
      </c>
      <c r="L21" s="739">
        <f t="shared" si="1"/>
        <v>192469241.24000001</v>
      </c>
      <c r="M21" s="178"/>
      <c r="N21" s="178"/>
      <c r="O21" s="178"/>
      <c r="P21" s="178"/>
      <c r="Q21" s="178"/>
      <c r="R21" s="178"/>
    </row>
    <row r="22" spans="1:18" ht="12.75" x14ac:dyDescent="0.2">
      <c r="A22" s="713">
        <v>1357</v>
      </c>
      <c r="B22" s="233" t="s">
        <v>2764</v>
      </c>
      <c r="C22" s="310">
        <v>2871765.39</v>
      </c>
      <c r="D22" s="310">
        <v>360567.05</v>
      </c>
      <c r="E22" s="310">
        <f t="shared" si="0"/>
        <v>2511198.3400000003</v>
      </c>
      <c r="F22" s="711"/>
      <c r="G22" s="310">
        <v>683741.39000000013</v>
      </c>
      <c r="H22" s="310">
        <f t="shared" si="2"/>
        <v>2188024</v>
      </c>
      <c r="I22" s="310">
        <v>2871765.39</v>
      </c>
      <c r="J22" s="310">
        <f t="shared" si="3"/>
        <v>360567.05</v>
      </c>
      <c r="K22" s="310">
        <v>2511198.3199999998</v>
      </c>
      <c r="L22" s="739">
        <f t="shared" si="1"/>
        <v>2.0000000484287739E-2</v>
      </c>
      <c r="M22" s="178"/>
      <c r="N22" s="178"/>
      <c r="O22" s="178"/>
      <c r="P22" s="178"/>
      <c r="Q22" s="178"/>
      <c r="R22" s="178"/>
    </row>
    <row r="23" spans="1:18" ht="12.75" x14ac:dyDescent="0.2">
      <c r="A23" s="713">
        <v>1358</v>
      </c>
      <c r="B23" s="233" t="s">
        <v>2765</v>
      </c>
      <c r="C23" s="310">
        <v>32988189.329999998</v>
      </c>
      <c r="D23" s="310">
        <v>791127.45</v>
      </c>
      <c r="E23" s="310">
        <f t="shared" si="0"/>
        <v>32197061.879999999</v>
      </c>
      <c r="F23" s="711"/>
      <c r="G23" s="310">
        <v>29688189.329999998</v>
      </c>
      <c r="H23" s="310">
        <f t="shared" si="2"/>
        <v>3300000</v>
      </c>
      <c r="I23" s="310">
        <v>32988189.329999998</v>
      </c>
      <c r="J23" s="310">
        <f t="shared" si="3"/>
        <v>791127.45</v>
      </c>
      <c r="K23" s="310">
        <v>3300000</v>
      </c>
      <c r="L23" s="739">
        <f t="shared" si="1"/>
        <v>28897061.879999999</v>
      </c>
      <c r="M23" s="178"/>
      <c r="N23" s="178"/>
      <c r="O23" s="178"/>
      <c r="P23" s="178"/>
      <c r="Q23" s="178"/>
      <c r="R23" s="178"/>
    </row>
    <row r="24" spans="1:18" ht="12.75" x14ac:dyDescent="0.2">
      <c r="A24" s="713">
        <v>1390</v>
      </c>
      <c r="B24" s="233" t="s">
        <v>2766</v>
      </c>
      <c r="C24" s="310">
        <v>0</v>
      </c>
      <c r="D24" s="310">
        <v>0</v>
      </c>
      <c r="E24" s="310">
        <f t="shared" si="0"/>
        <v>0</v>
      </c>
      <c r="F24" s="711"/>
      <c r="G24" s="310">
        <v>1746229.63</v>
      </c>
      <c r="H24" s="310">
        <f t="shared" si="2"/>
        <v>0</v>
      </c>
      <c r="I24" s="310">
        <v>1746229.63</v>
      </c>
      <c r="J24" s="310">
        <f t="shared" si="3"/>
        <v>0</v>
      </c>
      <c r="K24" s="310">
        <v>0</v>
      </c>
      <c r="L24" s="739">
        <f t="shared" si="1"/>
        <v>1746229.63</v>
      </c>
      <c r="M24" s="178"/>
      <c r="N24" s="178"/>
      <c r="O24" s="178"/>
      <c r="P24" s="178"/>
      <c r="Q24" s="178"/>
      <c r="R24" s="178"/>
    </row>
    <row r="25" spans="1:18" ht="12.75" x14ac:dyDescent="0.2">
      <c r="A25" s="713">
        <v>1391</v>
      </c>
      <c r="B25" s="233" t="s">
        <v>2767</v>
      </c>
      <c r="C25" s="310">
        <v>0</v>
      </c>
      <c r="D25" s="310">
        <v>0</v>
      </c>
      <c r="E25" s="310">
        <f t="shared" si="0"/>
        <v>0</v>
      </c>
      <c r="F25" s="711"/>
      <c r="G25" s="310">
        <v>24149.329999999958</v>
      </c>
      <c r="H25" s="310">
        <f t="shared" si="2"/>
        <v>4.3655745685100555E-11</v>
      </c>
      <c r="I25" s="310">
        <v>24149.33</v>
      </c>
      <c r="J25" s="310">
        <f t="shared" si="3"/>
        <v>0</v>
      </c>
      <c r="K25" s="310">
        <v>0</v>
      </c>
      <c r="L25" s="739">
        <f t="shared" si="1"/>
        <v>24149.33</v>
      </c>
      <c r="M25" s="178"/>
      <c r="N25" s="178"/>
      <c r="O25" s="178"/>
      <c r="P25" s="178"/>
      <c r="Q25" s="178"/>
      <c r="R25" s="178"/>
    </row>
    <row r="26" spans="1:18" ht="12.75" x14ac:dyDescent="0.2">
      <c r="A26" s="713">
        <v>1402</v>
      </c>
      <c r="B26" s="233" t="s">
        <v>1101</v>
      </c>
      <c r="C26" s="310">
        <v>0</v>
      </c>
      <c r="D26" s="310">
        <v>0</v>
      </c>
      <c r="E26" s="310">
        <f t="shared" si="0"/>
        <v>0</v>
      </c>
      <c r="F26" s="711"/>
      <c r="G26" s="310">
        <v>711207.3200000003</v>
      </c>
      <c r="H26" s="310">
        <f t="shared" si="2"/>
        <v>869987.6799999997</v>
      </c>
      <c r="I26" s="310">
        <v>1581195</v>
      </c>
      <c r="J26" s="310">
        <f t="shared" si="3"/>
        <v>0</v>
      </c>
      <c r="K26" s="310">
        <v>0</v>
      </c>
      <c r="L26" s="739">
        <f t="shared" si="1"/>
        <v>1581195</v>
      </c>
      <c r="M26" s="178"/>
      <c r="N26" s="178"/>
      <c r="O26" s="178"/>
      <c r="P26" s="178"/>
      <c r="Q26" s="178"/>
      <c r="R26" s="178"/>
    </row>
    <row r="27" spans="1:18" ht="12.75" x14ac:dyDescent="0.2">
      <c r="A27" s="713">
        <v>1406</v>
      </c>
      <c r="B27" s="233" t="s">
        <v>3556</v>
      </c>
      <c r="C27" s="310">
        <v>1559000</v>
      </c>
      <c r="D27" s="310">
        <v>1366595.95</v>
      </c>
      <c r="E27" s="310">
        <f>C27-D27</f>
        <v>192404.05000000005</v>
      </c>
      <c r="F27" s="711"/>
      <c r="G27" s="310">
        <v>0</v>
      </c>
      <c r="H27" s="310">
        <f>I27-G27</f>
        <v>1366595.95</v>
      </c>
      <c r="I27" s="310">
        <v>1366595.95</v>
      </c>
      <c r="J27" s="310">
        <f>D27</f>
        <v>1366595.95</v>
      </c>
      <c r="K27" s="310">
        <v>0</v>
      </c>
      <c r="L27" s="739">
        <f t="shared" si="1"/>
        <v>0</v>
      </c>
      <c r="M27" s="178"/>
      <c r="N27" s="178"/>
      <c r="O27" s="178"/>
      <c r="P27" s="178"/>
      <c r="Q27" s="178"/>
      <c r="R27" s="178"/>
    </row>
    <row r="28" spans="1:18" ht="12.75" x14ac:dyDescent="0.2">
      <c r="A28" s="713">
        <v>1408</v>
      </c>
      <c r="B28" s="233" t="s">
        <v>1034</v>
      </c>
      <c r="C28" s="310">
        <v>3532630.09</v>
      </c>
      <c r="D28" s="310">
        <v>0</v>
      </c>
      <c r="E28" s="310">
        <f t="shared" si="0"/>
        <v>3532630.09</v>
      </c>
      <c r="F28" s="711"/>
      <c r="G28" s="310">
        <v>2032630.09</v>
      </c>
      <c r="H28" s="310">
        <f t="shared" si="2"/>
        <v>0</v>
      </c>
      <c r="I28" s="310">
        <v>2032630.09</v>
      </c>
      <c r="J28" s="310">
        <f t="shared" si="3"/>
        <v>0</v>
      </c>
      <c r="K28" s="310">
        <v>0</v>
      </c>
      <c r="L28" s="739">
        <f t="shared" si="1"/>
        <v>2032630.09</v>
      </c>
      <c r="M28" s="178"/>
      <c r="N28" s="178"/>
      <c r="O28" s="178"/>
      <c r="P28" s="178"/>
      <c r="Q28" s="178"/>
      <c r="R28" s="178"/>
    </row>
    <row r="29" spans="1:18" ht="12.75" x14ac:dyDescent="0.2">
      <c r="A29" s="713">
        <v>1411</v>
      </c>
      <c r="B29" s="233" t="s">
        <v>2768</v>
      </c>
      <c r="C29" s="310">
        <v>1121300</v>
      </c>
      <c r="D29" s="310">
        <v>1121300</v>
      </c>
      <c r="E29" s="310">
        <f t="shared" si="0"/>
        <v>0</v>
      </c>
      <c r="F29" s="711"/>
      <c r="G29" s="310">
        <v>1717349.5499999998</v>
      </c>
      <c r="H29" s="310">
        <f t="shared" si="2"/>
        <v>0</v>
      </c>
      <c r="I29" s="310">
        <v>1717349.55</v>
      </c>
      <c r="J29" s="310">
        <f t="shared" si="3"/>
        <v>1121300</v>
      </c>
      <c r="K29" s="310">
        <v>0</v>
      </c>
      <c r="L29" s="739">
        <f t="shared" si="1"/>
        <v>596049.55000000005</v>
      </c>
      <c r="M29" s="178"/>
      <c r="N29" s="178"/>
      <c r="O29" s="178"/>
      <c r="P29" s="178"/>
      <c r="Q29" s="178"/>
      <c r="R29" s="178"/>
    </row>
    <row r="30" spans="1:18" ht="12.75" x14ac:dyDescent="0.2">
      <c r="A30" s="713">
        <v>1412</v>
      </c>
      <c r="B30" s="233" t="s">
        <v>2769</v>
      </c>
      <c r="C30" s="310">
        <v>484273.15</v>
      </c>
      <c r="D30" s="310">
        <v>139985</v>
      </c>
      <c r="E30" s="310">
        <f t="shared" si="0"/>
        <v>344288.15</v>
      </c>
      <c r="F30" s="711"/>
      <c r="G30" s="310">
        <v>795823.14999999991</v>
      </c>
      <c r="H30" s="310">
        <f t="shared" si="2"/>
        <v>0</v>
      </c>
      <c r="I30" s="310">
        <v>795823.15</v>
      </c>
      <c r="J30" s="310">
        <f t="shared" si="3"/>
        <v>139985</v>
      </c>
      <c r="K30" s="310">
        <v>0</v>
      </c>
      <c r="L30" s="739">
        <f t="shared" si="1"/>
        <v>655838.15</v>
      </c>
      <c r="M30" s="178"/>
      <c r="N30" s="178"/>
      <c r="O30" s="178"/>
      <c r="P30" s="178"/>
      <c r="Q30" s="178"/>
      <c r="R30" s="178"/>
    </row>
    <row r="31" spans="1:18" ht="12.75" x14ac:dyDescent="0.2">
      <c r="A31" s="713">
        <v>1413</v>
      </c>
      <c r="B31" s="233" t="s">
        <v>2327</v>
      </c>
      <c r="C31" s="310">
        <v>97714</v>
      </c>
      <c r="D31" s="310">
        <v>0</v>
      </c>
      <c r="E31" s="310">
        <f t="shared" si="0"/>
        <v>97714</v>
      </c>
      <c r="F31" s="711"/>
      <c r="G31" s="310">
        <v>0.64000000013038516</v>
      </c>
      <c r="H31" s="310">
        <f t="shared" si="2"/>
        <v>97713.999999999869</v>
      </c>
      <c r="I31" s="310">
        <v>97714.64</v>
      </c>
      <c r="J31" s="310">
        <f t="shared" si="3"/>
        <v>0</v>
      </c>
      <c r="K31" s="310">
        <v>97714</v>
      </c>
      <c r="L31" s="739">
        <f t="shared" si="1"/>
        <v>0.63999999999941792</v>
      </c>
      <c r="M31" s="178"/>
      <c r="N31" s="178"/>
      <c r="O31" s="178"/>
      <c r="P31" s="178"/>
      <c r="Q31" s="178"/>
      <c r="R31" s="178"/>
    </row>
    <row r="32" spans="1:18" ht="12.75" x14ac:dyDescent="0.2">
      <c r="A32" s="713">
        <v>1416</v>
      </c>
      <c r="B32" s="233" t="s">
        <v>2770</v>
      </c>
      <c r="C32" s="310">
        <v>3653859.34</v>
      </c>
      <c r="D32" s="310">
        <v>1817248.55</v>
      </c>
      <c r="E32" s="310">
        <f t="shared" si="0"/>
        <v>1836610.7899999998</v>
      </c>
      <c r="F32" s="711"/>
      <c r="G32" s="310">
        <v>3614793.4899999998</v>
      </c>
      <c r="H32" s="310">
        <f t="shared" si="2"/>
        <v>39065.850000000093</v>
      </c>
      <c r="I32" s="310">
        <v>3653859.34</v>
      </c>
      <c r="J32" s="310">
        <f t="shared" si="3"/>
        <v>1817248.55</v>
      </c>
      <c r="K32" s="310">
        <v>39065.85</v>
      </c>
      <c r="L32" s="739">
        <f t="shared" si="1"/>
        <v>1797544.9399999997</v>
      </c>
      <c r="M32" s="178"/>
      <c r="N32" s="178"/>
      <c r="O32" s="178"/>
      <c r="P32" s="178"/>
      <c r="Q32" s="178"/>
      <c r="R32" s="178"/>
    </row>
    <row r="33" spans="1:18" x14ac:dyDescent="0.25">
      <c r="A33" s="713">
        <v>1420</v>
      </c>
      <c r="B33" s="233" t="s">
        <v>3557</v>
      </c>
      <c r="C33" s="310">
        <v>1633989</v>
      </c>
      <c r="D33" s="310">
        <v>1633989</v>
      </c>
      <c r="E33" s="310">
        <f t="shared" si="0"/>
        <v>0</v>
      </c>
      <c r="F33" s="711"/>
      <c r="G33" s="310">
        <v>1633989</v>
      </c>
      <c r="H33" s="310">
        <f t="shared" si="2"/>
        <v>0</v>
      </c>
      <c r="I33" s="310">
        <v>1633989</v>
      </c>
      <c r="J33" s="310">
        <f t="shared" si="3"/>
        <v>1633989</v>
      </c>
      <c r="K33" s="310">
        <v>0</v>
      </c>
      <c r="L33" s="739">
        <f t="shared" si="1"/>
        <v>0</v>
      </c>
    </row>
    <row r="34" spans="1:18" x14ac:dyDescent="0.25">
      <c r="A34" s="713">
        <v>1421</v>
      </c>
      <c r="B34" s="233" t="s">
        <v>3558</v>
      </c>
      <c r="C34" s="310">
        <v>9045297.8699999992</v>
      </c>
      <c r="D34" s="310">
        <v>4065559.7</v>
      </c>
      <c r="E34" s="310">
        <f>C34-D34</f>
        <v>4979738.169999999</v>
      </c>
      <c r="F34" s="711"/>
      <c r="G34" s="310">
        <v>0</v>
      </c>
      <c r="H34" s="310">
        <f>I34-G34</f>
        <v>8674881.9000000004</v>
      </c>
      <c r="I34" s="310">
        <v>8674881.9000000004</v>
      </c>
      <c r="J34" s="310">
        <f>D34</f>
        <v>4065559.7</v>
      </c>
      <c r="K34" s="310">
        <v>0</v>
      </c>
      <c r="L34" s="739">
        <f t="shared" si="1"/>
        <v>4609322.2</v>
      </c>
    </row>
    <row r="35" spans="1:18" x14ac:dyDescent="0.25">
      <c r="A35" s="713">
        <v>1422</v>
      </c>
      <c r="B35" s="233" t="s">
        <v>1027</v>
      </c>
      <c r="C35" s="310">
        <v>2948735.8</v>
      </c>
      <c r="D35" s="310">
        <v>3329224.3</v>
      </c>
      <c r="E35" s="310">
        <f t="shared" si="0"/>
        <v>-380488.5</v>
      </c>
      <c r="F35" s="711"/>
      <c r="G35" s="310">
        <v>2943537.870000002</v>
      </c>
      <c r="H35" s="310">
        <f t="shared" si="2"/>
        <v>5197.9299999978393</v>
      </c>
      <c r="I35" s="310">
        <v>2948735.8</v>
      </c>
      <c r="J35" s="310">
        <f t="shared" si="3"/>
        <v>3329224.3</v>
      </c>
      <c r="K35" s="310">
        <v>94439.9</v>
      </c>
      <c r="L35" s="739">
        <f t="shared" si="1"/>
        <v>-474928.4</v>
      </c>
    </row>
    <row r="36" spans="1:18" x14ac:dyDescent="0.25">
      <c r="A36" s="713">
        <v>1424</v>
      </c>
      <c r="B36" s="233" t="s">
        <v>2328</v>
      </c>
      <c r="C36" s="310">
        <v>3363346</v>
      </c>
      <c r="D36" s="310">
        <v>580412.94999999995</v>
      </c>
      <c r="E36" s="310">
        <f t="shared" si="0"/>
        <v>2782933.05</v>
      </c>
      <c r="F36" s="711"/>
      <c r="G36" s="310">
        <v>4289421.51</v>
      </c>
      <c r="H36" s="310">
        <f t="shared" si="2"/>
        <v>0</v>
      </c>
      <c r="I36" s="310">
        <v>4289421.51</v>
      </c>
      <c r="J36" s="310">
        <f t="shared" si="3"/>
        <v>580412.94999999995</v>
      </c>
      <c r="K36" s="310">
        <v>0</v>
      </c>
      <c r="L36" s="739">
        <f t="shared" si="1"/>
        <v>3709008.5599999996</v>
      </c>
    </row>
    <row r="37" spans="1:18" x14ac:dyDescent="0.25">
      <c r="A37" s="713">
        <v>1426</v>
      </c>
      <c r="B37" s="233" t="s">
        <v>1713</v>
      </c>
      <c r="C37" s="310">
        <v>2312252.9500000002</v>
      </c>
      <c r="D37" s="310">
        <v>428690.75</v>
      </c>
      <c r="E37" s="310">
        <f t="shared" si="0"/>
        <v>1883562.2000000002</v>
      </c>
      <c r="F37" s="711"/>
      <c r="G37" s="310">
        <v>2312252.9500000002</v>
      </c>
      <c r="H37" s="310">
        <f t="shared" si="2"/>
        <v>0</v>
      </c>
      <c r="I37" s="310">
        <v>2312252.9500000002</v>
      </c>
      <c r="J37" s="310">
        <f t="shared" si="3"/>
        <v>428690.75</v>
      </c>
      <c r="K37" s="310">
        <v>0</v>
      </c>
      <c r="L37" s="739">
        <f t="shared" si="1"/>
        <v>1883562.2000000002</v>
      </c>
    </row>
    <row r="38" spans="1:18" x14ac:dyDescent="0.25">
      <c r="A38" s="713">
        <v>1428</v>
      </c>
      <c r="B38" s="233" t="s">
        <v>1683</v>
      </c>
      <c r="C38" s="310">
        <v>0</v>
      </c>
      <c r="D38" s="310">
        <v>0</v>
      </c>
      <c r="E38" s="310">
        <f t="shared" si="0"/>
        <v>0</v>
      </c>
      <c r="F38" s="711"/>
      <c r="G38" s="310">
        <v>1703865.53</v>
      </c>
      <c r="H38" s="310">
        <f t="shared" si="2"/>
        <v>0</v>
      </c>
      <c r="I38" s="310">
        <v>1703865.53</v>
      </c>
      <c r="J38" s="310">
        <f t="shared" si="3"/>
        <v>0</v>
      </c>
      <c r="K38" s="310">
        <v>0</v>
      </c>
      <c r="L38" s="739">
        <f t="shared" si="1"/>
        <v>1703865.53</v>
      </c>
    </row>
    <row r="39" spans="1:18" x14ac:dyDescent="0.25">
      <c r="A39" s="713">
        <v>1431</v>
      </c>
      <c r="B39" s="233" t="s">
        <v>2771</v>
      </c>
      <c r="C39" s="310">
        <v>0</v>
      </c>
      <c r="D39" s="310">
        <v>0</v>
      </c>
      <c r="E39" s="310">
        <f t="shared" si="0"/>
        <v>0</v>
      </c>
      <c r="F39" s="711"/>
      <c r="G39" s="310">
        <v>1132037.19</v>
      </c>
      <c r="H39" s="310">
        <f t="shared" si="2"/>
        <v>0</v>
      </c>
      <c r="I39" s="310">
        <v>1132037.19</v>
      </c>
      <c r="J39" s="310">
        <f t="shared" si="3"/>
        <v>0</v>
      </c>
      <c r="K39" s="310">
        <v>0</v>
      </c>
      <c r="L39" s="739">
        <f t="shared" si="1"/>
        <v>1132037.19</v>
      </c>
    </row>
    <row r="40" spans="1:18" x14ac:dyDescent="0.25">
      <c r="A40" s="713">
        <v>1445</v>
      </c>
      <c r="B40" s="233" t="s">
        <v>1477</v>
      </c>
      <c r="C40" s="310">
        <v>6220892.2300000004</v>
      </c>
      <c r="D40" s="310">
        <v>287003.36</v>
      </c>
      <c r="E40" s="310">
        <f t="shared" si="0"/>
        <v>5933888.8700000001</v>
      </c>
      <c r="F40" s="711"/>
      <c r="G40" s="310">
        <v>5920892.2299999995</v>
      </c>
      <c r="H40" s="310">
        <f t="shared" si="2"/>
        <v>1075932.0000000009</v>
      </c>
      <c r="I40" s="310">
        <v>6996824.2300000004</v>
      </c>
      <c r="J40" s="310">
        <f t="shared" si="3"/>
        <v>287003.36</v>
      </c>
      <c r="K40" s="310">
        <v>0</v>
      </c>
      <c r="L40" s="739">
        <f t="shared" si="1"/>
        <v>6709820.8700000001</v>
      </c>
    </row>
    <row r="41" spans="1:18" x14ac:dyDescent="0.25">
      <c r="A41" s="713">
        <v>1446</v>
      </c>
      <c r="B41" s="233" t="s">
        <v>425</v>
      </c>
      <c r="C41" s="310">
        <v>0</v>
      </c>
      <c r="D41" s="310">
        <v>0</v>
      </c>
      <c r="E41" s="310">
        <f t="shared" si="0"/>
        <v>0</v>
      </c>
      <c r="F41" s="711"/>
      <c r="G41" s="310">
        <v>1296474.2</v>
      </c>
      <c r="H41" s="310">
        <f t="shared" si="2"/>
        <v>0</v>
      </c>
      <c r="I41" s="310">
        <v>1296474.2</v>
      </c>
      <c r="J41" s="310">
        <f t="shared" si="3"/>
        <v>0</v>
      </c>
      <c r="K41" s="310">
        <v>0</v>
      </c>
      <c r="L41" s="739">
        <f t="shared" si="1"/>
        <v>1296474.2</v>
      </c>
    </row>
    <row r="42" spans="1:18" x14ac:dyDescent="0.25">
      <c r="A42" s="713">
        <v>1448</v>
      </c>
      <c r="B42" s="233" t="s">
        <v>1685</v>
      </c>
      <c r="C42" s="310">
        <v>3363346</v>
      </c>
      <c r="D42" s="310">
        <v>309553.55</v>
      </c>
      <c r="E42" s="310">
        <f t="shared" si="0"/>
        <v>3053792.45</v>
      </c>
      <c r="F42" s="711"/>
      <c r="G42" s="310">
        <v>3167045.9499999997</v>
      </c>
      <c r="H42" s="310">
        <f t="shared" si="2"/>
        <v>0</v>
      </c>
      <c r="I42" s="310">
        <v>3167045.95</v>
      </c>
      <c r="J42" s="310">
        <f t="shared" si="3"/>
        <v>309553.55</v>
      </c>
      <c r="K42" s="310">
        <v>0</v>
      </c>
      <c r="L42" s="739">
        <f t="shared" si="1"/>
        <v>2857492.4000000004</v>
      </c>
    </row>
    <row r="43" spans="1:18" s="721" customFormat="1" x14ac:dyDescent="0.25">
      <c r="A43" s="715">
        <v>1453</v>
      </c>
      <c r="B43" s="716" t="s">
        <v>1705</v>
      </c>
      <c r="C43" s="717">
        <v>0</v>
      </c>
      <c r="D43" s="717">
        <v>0</v>
      </c>
      <c r="E43" s="717">
        <f t="shared" si="0"/>
        <v>0</v>
      </c>
      <c r="F43" s="711"/>
      <c r="G43" s="717">
        <v>85813.56</v>
      </c>
      <c r="H43" s="717">
        <f t="shared" si="2"/>
        <v>-85813.56</v>
      </c>
      <c r="I43" s="717">
        <v>0</v>
      </c>
      <c r="J43" s="717">
        <f t="shared" si="3"/>
        <v>0</v>
      </c>
      <c r="K43" s="717">
        <v>0</v>
      </c>
      <c r="L43" s="741">
        <f t="shared" si="1"/>
        <v>0</v>
      </c>
      <c r="M43" s="718"/>
      <c r="N43" s="719"/>
      <c r="O43" s="719"/>
      <c r="P43" s="720"/>
      <c r="Q43" s="719"/>
      <c r="R43" s="742"/>
    </row>
    <row r="44" spans="1:18" x14ac:dyDescent="0.25">
      <c r="A44" s="713">
        <v>1455</v>
      </c>
      <c r="B44" s="233" t="s">
        <v>1715</v>
      </c>
      <c r="C44" s="310">
        <v>27000000</v>
      </c>
      <c r="D44" s="310">
        <v>2172292.6800000002</v>
      </c>
      <c r="E44" s="310">
        <f t="shared" si="0"/>
        <v>24827707.32</v>
      </c>
      <c r="F44" s="711"/>
      <c r="G44" s="310">
        <v>35836696.519999996</v>
      </c>
      <c r="H44" s="310">
        <f t="shared" si="2"/>
        <v>1927896.0000000075</v>
      </c>
      <c r="I44" s="310">
        <v>37764592.520000003</v>
      </c>
      <c r="J44" s="310">
        <f t="shared" si="3"/>
        <v>2172292.6800000002</v>
      </c>
      <c r="K44" s="310">
        <v>0</v>
      </c>
      <c r="L44" s="739">
        <f t="shared" si="1"/>
        <v>35592299.840000004</v>
      </c>
    </row>
    <row r="45" spans="1:18" x14ac:dyDescent="0.25">
      <c r="A45" s="713">
        <v>1456</v>
      </c>
      <c r="B45" s="233" t="s">
        <v>1479</v>
      </c>
      <c r="C45" s="310">
        <v>616500323.14999998</v>
      </c>
      <c r="D45" s="310">
        <v>197418451.11000001</v>
      </c>
      <c r="E45" s="310">
        <f t="shared" si="0"/>
        <v>419081872.03999996</v>
      </c>
      <c r="F45" s="711"/>
      <c r="G45" s="310">
        <v>567053703.70999992</v>
      </c>
      <c r="H45" s="310">
        <f t="shared" si="2"/>
        <v>216500323.1500001</v>
      </c>
      <c r="I45" s="310">
        <v>783554026.86000001</v>
      </c>
      <c r="J45" s="310">
        <f t="shared" si="3"/>
        <v>197418451.11000001</v>
      </c>
      <c r="K45" s="310">
        <v>80285522.900000006</v>
      </c>
      <c r="L45" s="739">
        <f t="shared" si="1"/>
        <v>505850052.85000002</v>
      </c>
    </row>
    <row r="46" spans="1:18" x14ac:dyDescent="0.25">
      <c r="A46" s="713">
        <v>1457</v>
      </c>
      <c r="B46" s="233" t="s">
        <v>443</v>
      </c>
      <c r="C46" s="310">
        <v>5533298.1600000001</v>
      </c>
      <c r="D46" s="310">
        <v>0</v>
      </c>
      <c r="E46" s="310">
        <f t="shared" si="0"/>
        <v>5533298.1600000001</v>
      </c>
      <c r="F46" s="711"/>
      <c r="G46" s="310">
        <v>20757458.789999999</v>
      </c>
      <c r="H46" s="310">
        <f t="shared" si="2"/>
        <v>0</v>
      </c>
      <c r="I46" s="310">
        <v>20757458.789999999</v>
      </c>
      <c r="J46" s="310">
        <f t="shared" si="3"/>
        <v>0</v>
      </c>
      <c r="K46" s="310">
        <v>0</v>
      </c>
      <c r="L46" s="739">
        <f t="shared" si="1"/>
        <v>20757458.789999999</v>
      </c>
    </row>
    <row r="47" spans="1:18" x14ac:dyDescent="0.25">
      <c r="A47" s="713">
        <v>1458</v>
      </c>
      <c r="B47" s="233" t="s">
        <v>2329</v>
      </c>
      <c r="C47" s="310">
        <v>0</v>
      </c>
      <c r="D47" s="310">
        <v>0</v>
      </c>
      <c r="E47" s="310">
        <f t="shared" si="0"/>
        <v>0</v>
      </c>
      <c r="F47" s="711"/>
      <c r="G47" s="310">
        <v>2502914.38</v>
      </c>
      <c r="H47" s="310">
        <f t="shared" si="2"/>
        <v>0</v>
      </c>
      <c r="I47" s="310">
        <v>2502914.38</v>
      </c>
      <c r="J47" s="310">
        <f t="shared" si="3"/>
        <v>0</v>
      </c>
      <c r="K47" s="310">
        <v>0</v>
      </c>
      <c r="L47" s="739">
        <f t="shared" si="1"/>
        <v>2502914.38</v>
      </c>
    </row>
    <row r="48" spans="1:18" x14ac:dyDescent="0.25">
      <c r="A48" s="713">
        <v>1459</v>
      </c>
      <c r="B48" s="233" t="s">
        <v>2772</v>
      </c>
      <c r="C48" s="310">
        <v>0</v>
      </c>
      <c r="D48" s="310">
        <v>0</v>
      </c>
      <c r="E48" s="310">
        <f t="shared" si="0"/>
        <v>0</v>
      </c>
      <c r="F48" s="711"/>
      <c r="G48" s="310">
        <v>3284204.79</v>
      </c>
      <c r="H48" s="310">
        <f t="shared" si="2"/>
        <v>0</v>
      </c>
      <c r="I48" s="310">
        <v>3284204.79</v>
      </c>
      <c r="J48" s="310">
        <f t="shared" si="3"/>
        <v>0</v>
      </c>
      <c r="K48" s="310">
        <v>0</v>
      </c>
      <c r="L48" s="739">
        <f t="shared" si="1"/>
        <v>3284204.79</v>
      </c>
    </row>
    <row r="49" spans="1:18" ht="12.75" x14ac:dyDescent="0.2">
      <c r="A49" s="713">
        <v>1460</v>
      </c>
      <c r="B49" s="233" t="s">
        <v>2330</v>
      </c>
      <c r="C49" s="310">
        <v>9568771.8000000007</v>
      </c>
      <c r="D49" s="310">
        <v>3238350.75</v>
      </c>
      <c r="E49" s="310">
        <f t="shared" si="0"/>
        <v>6330421.0500000007</v>
      </c>
      <c r="F49" s="711"/>
      <c r="G49" s="310">
        <v>6554444.3500000006</v>
      </c>
      <c r="H49" s="310">
        <f t="shared" si="2"/>
        <v>2999999.9999999991</v>
      </c>
      <c r="I49" s="310">
        <v>9554444.3499999996</v>
      </c>
      <c r="J49" s="310">
        <f t="shared" si="3"/>
        <v>3238350.75</v>
      </c>
      <c r="K49" s="310">
        <v>0</v>
      </c>
      <c r="L49" s="739">
        <f t="shared" si="1"/>
        <v>6316093.5999999996</v>
      </c>
      <c r="M49" s="178"/>
      <c r="N49" s="178"/>
      <c r="O49" s="178"/>
      <c r="P49" s="178"/>
      <c r="Q49" s="178"/>
      <c r="R49" s="178"/>
    </row>
    <row r="50" spans="1:18" ht="12.75" x14ac:dyDescent="0.2">
      <c r="A50" s="713">
        <v>1461</v>
      </c>
      <c r="B50" s="233" t="s">
        <v>444</v>
      </c>
      <c r="C50" s="310">
        <v>0</v>
      </c>
      <c r="D50" s="310">
        <v>2836350</v>
      </c>
      <c r="E50" s="310">
        <f>C50-D50</f>
        <v>-2836350</v>
      </c>
      <c r="F50" s="711"/>
      <c r="G50" s="310">
        <v>0</v>
      </c>
      <c r="H50" s="310">
        <f t="shared" si="2"/>
        <v>0</v>
      </c>
      <c r="I50" s="310">
        <v>0</v>
      </c>
      <c r="J50" s="310">
        <f t="shared" si="3"/>
        <v>2836350</v>
      </c>
      <c r="K50" s="310">
        <v>0</v>
      </c>
      <c r="L50" s="739">
        <v>-2836350</v>
      </c>
      <c r="M50" s="178"/>
      <c r="N50" s="178"/>
      <c r="O50" s="178"/>
      <c r="P50" s="178"/>
      <c r="Q50" s="178"/>
      <c r="R50" s="178"/>
    </row>
    <row r="51" spans="1:18" ht="12.75" x14ac:dyDescent="0.2">
      <c r="A51" s="713">
        <v>1462</v>
      </c>
      <c r="B51" s="233" t="s">
        <v>1799</v>
      </c>
      <c r="C51" s="310">
        <v>0</v>
      </c>
      <c r="D51" s="310">
        <v>0</v>
      </c>
      <c r="E51" s="310">
        <f t="shared" si="0"/>
        <v>0</v>
      </c>
      <c r="F51" s="711"/>
      <c r="G51" s="310">
        <v>357732.68999999948</v>
      </c>
      <c r="H51" s="310">
        <f t="shared" si="2"/>
        <v>5.2386894822120667E-10</v>
      </c>
      <c r="I51" s="310">
        <v>357732.69</v>
      </c>
      <c r="J51" s="310">
        <f t="shared" si="3"/>
        <v>0</v>
      </c>
      <c r="K51" s="310">
        <v>0</v>
      </c>
      <c r="L51" s="739">
        <f t="shared" si="1"/>
        <v>357732.69</v>
      </c>
      <c r="M51" s="178"/>
      <c r="N51" s="178"/>
      <c r="O51" s="178"/>
      <c r="P51" s="178"/>
      <c r="Q51" s="178"/>
      <c r="R51" s="178"/>
    </row>
    <row r="52" spans="1:18" ht="12.75" x14ac:dyDescent="0.2">
      <c r="A52" s="713">
        <v>1463</v>
      </c>
      <c r="B52" s="233" t="s">
        <v>2773</v>
      </c>
      <c r="C52" s="310">
        <v>7179531.5999999996</v>
      </c>
      <c r="D52" s="310">
        <v>2822580.6</v>
      </c>
      <c r="E52" s="310">
        <f t="shared" si="0"/>
        <v>4356951</v>
      </c>
      <c r="F52" s="711"/>
      <c r="G52" s="310">
        <v>279531.59999999963</v>
      </c>
      <c r="H52" s="310">
        <f t="shared" si="2"/>
        <v>6900000</v>
      </c>
      <c r="I52" s="310">
        <v>7179531.5999999996</v>
      </c>
      <c r="J52" s="310">
        <f t="shared" si="3"/>
        <v>2822580.6</v>
      </c>
      <c r="K52" s="310">
        <v>0</v>
      </c>
      <c r="L52" s="739">
        <f t="shared" si="1"/>
        <v>4356951</v>
      </c>
      <c r="M52" s="178"/>
      <c r="N52" s="178"/>
      <c r="O52" s="178"/>
      <c r="P52" s="178"/>
      <c r="Q52" s="178"/>
      <c r="R52" s="178"/>
    </row>
    <row r="53" spans="1:18" ht="12.75" x14ac:dyDescent="0.2">
      <c r="A53" s="713">
        <v>1464</v>
      </c>
      <c r="B53" s="233" t="s">
        <v>2774</v>
      </c>
      <c r="C53" s="310">
        <v>0</v>
      </c>
      <c r="D53" s="310">
        <v>0</v>
      </c>
      <c r="E53" s="310">
        <f t="shared" si="0"/>
        <v>0</v>
      </c>
      <c r="F53" s="711"/>
      <c r="G53" s="310">
        <v>1297005990.24</v>
      </c>
      <c r="H53" s="310">
        <f t="shared" si="2"/>
        <v>0</v>
      </c>
      <c r="I53" s="310">
        <v>1297005990.24</v>
      </c>
      <c r="J53" s="310">
        <f t="shared" si="3"/>
        <v>0</v>
      </c>
      <c r="K53" s="310">
        <v>0</v>
      </c>
      <c r="L53" s="739">
        <f t="shared" si="1"/>
        <v>1297005990.24</v>
      </c>
      <c r="M53" s="178"/>
      <c r="N53" s="178"/>
      <c r="O53" s="178"/>
      <c r="P53" s="178"/>
      <c r="Q53" s="178"/>
      <c r="R53" s="178"/>
    </row>
    <row r="54" spans="1:18" ht="12.75" x14ac:dyDescent="0.2">
      <c r="A54" s="713">
        <v>1466</v>
      </c>
      <c r="B54" s="233" t="s">
        <v>445</v>
      </c>
      <c r="C54" s="310">
        <v>31000000</v>
      </c>
      <c r="D54" s="310">
        <v>9842827.8000000007</v>
      </c>
      <c r="E54" s="310">
        <f t="shared" si="0"/>
        <v>21157172.199999999</v>
      </c>
      <c r="F54" s="711"/>
      <c r="G54" s="310">
        <v>12384327.129999999</v>
      </c>
      <c r="H54" s="310">
        <f t="shared" si="2"/>
        <v>532338.20000000112</v>
      </c>
      <c r="I54" s="310">
        <v>12916665.33</v>
      </c>
      <c r="J54" s="310">
        <f t="shared" si="3"/>
        <v>9842827.8000000007</v>
      </c>
      <c r="K54" s="310">
        <v>0</v>
      </c>
      <c r="L54" s="739">
        <f t="shared" si="1"/>
        <v>3073837.5299999993</v>
      </c>
      <c r="M54" s="178"/>
      <c r="N54" s="178"/>
      <c r="O54" s="178"/>
      <c r="P54" s="178"/>
      <c r="Q54" s="178"/>
      <c r="R54" s="178"/>
    </row>
    <row r="55" spans="1:18" ht="12.75" x14ac:dyDescent="0.2">
      <c r="A55" s="713">
        <v>1467</v>
      </c>
      <c r="B55" s="233" t="s">
        <v>2775</v>
      </c>
      <c r="C55" s="310">
        <v>305803.65000000002</v>
      </c>
      <c r="D55" s="310">
        <v>240162.8</v>
      </c>
      <c r="E55" s="310">
        <f t="shared" si="0"/>
        <v>65640.850000000035</v>
      </c>
      <c r="F55" s="711"/>
      <c r="G55" s="310">
        <v>874657.90000000072</v>
      </c>
      <c r="H55" s="310">
        <f t="shared" si="2"/>
        <v>-568854.2500000007</v>
      </c>
      <c r="I55" s="310">
        <v>305803.65000000002</v>
      </c>
      <c r="J55" s="310">
        <f t="shared" si="3"/>
        <v>240162.8</v>
      </c>
      <c r="K55" s="310">
        <v>0</v>
      </c>
      <c r="L55" s="739">
        <f t="shared" si="1"/>
        <v>65640.850000000035</v>
      </c>
      <c r="M55" s="178"/>
      <c r="N55" s="178"/>
      <c r="O55" s="178"/>
      <c r="P55" s="178"/>
      <c r="Q55" s="178"/>
      <c r="R55" s="178"/>
    </row>
    <row r="56" spans="1:18" ht="12.75" x14ac:dyDescent="0.2">
      <c r="A56" s="713">
        <v>1469</v>
      </c>
      <c r="B56" s="233" t="s">
        <v>2776</v>
      </c>
      <c r="C56" s="310">
        <v>13755821.65</v>
      </c>
      <c r="D56" s="310">
        <v>6442304.6500000004</v>
      </c>
      <c r="E56" s="310">
        <f t="shared" si="0"/>
        <v>7313517</v>
      </c>
      <c r="F56" s="711"/>
      <c r="G56" s="310">
        <v>9798290.9500000011</v>
      </c>
      <c r="H56" s="310">
        <f t="shared" si="2"/>
        <v>3991343.2499999981</v>
      </c>
      <c r="I56" s="310">
        <v>13789634.199999999</v>
      </c>
      <c r="J56" s="310">
        <f t="shared" si="3"/>
        <v>6442304.6500000004</v>
      </c>
      <c r="K56" s="310">
        <v>7085500.7999999998</v>
      </c>
      <c r="L56" s="739">
        <f t="shared" si="1"/>
        <v>261828.74999999907</v>
      </c>
      <c r="M56" s="178"/>
      <c r="N56" s="178"/>
      <c r="O56" s="178"/>
      <c r="P56" s="178"/>
      <c r="Q56" s="178"/>
      <c r="R56" s="178"/>
    </row>
    <row r="57" spans="1:18" ht="12.75" x14ac:dyDescent="0.2">
      <c r="A57" s="713">
        <v>1470</v>
      </c>
      <c r="B57" s="233" t="s">
        <v>2334</v>
      </c>
      <c r="C57" s="310">
        <v>8020559.7800000003</v>
      </c>
      <c r="D57" s="310">
        <v>5346554.05</v>
      </c>
      <c r="E57" s="310">
        <f t="shared" si="0"/>
        <v>2674005.7300000004</v>
      </c>
      <c r="F57" s="711"/>
      <c r="G57" s="310">
        <v>3145346.3100000005</v>
      </c>
      <c r="H57" s="310">
        <f t="shared" si="2"/>
        <v>4699999.9999999991</v>
      </c>
      <c r="I57" s="310">
        <v>7845346.3099999996</v>
      </c>
      <c r="J57" s="310">
        <f t="shared" si="3"/>
        <v>5346554.05</v>
      </c>
      <c r="K57" s="310">
        <v>0</v>
      </c>
      <c r="L57" s="739">
        <f t="shared" si="1"/>
        <v>2498792.2599999998</v>
      </c>
      <c r="M57" s="178"/>
      <c r="N57" s="178"/>
      <c r="O57" s="178"/>
      <c r="P57" s="178"/>
      <c r="Q57" s="178"/>
      <c r="R57" s="178"/>
    </row>
    <row r="58" spans="1:18" ht="12.75" x14ac:dyDescent="0.2">
      <c r="A58" s="713">
        <v>1471</v>
      </c>
      <c r="B58" s="233" t="s">
        <v>2777</v>
      </c>
      <c r="C58" s="310">
        <v>9176472</v>
      </c>
      <c r="D58" s="310">
        <v>4975635.3</v>
      </c>
      <c r="E58" s="310">
        <f t="shared" si="0"/>
        <v>4200836.7</v>
      </c>
      <c r="F58" s="711"/>
      <c r="G58" s="310">
        <v>2990924.25</v>
      </c>
      <c r="H58" s="310">
        <f t="shared" si="2"/>
        <v>6500000</v>
      </c>
      <c r="I58" s="310">
        <v>9490924.25</v>
      </c>
      <c r="J58" s="310">
        <f t="shared" si="3"/>
        <v>4975635.3</v>
      </c>
      <c r="K58" s="310">
        <v>0</v>
      </c>
      <c r="L58" s="739">
        <f t="shared" si="1"/>
        <v>4515288.95</v>
      </c>
      <c r="M58" s="178"/>
      <c r="N58" s="178"/>
      <c r="O58" s="178"/>
      <c r="P58" s="178"/>
      <c r="Q58" s="178"/>
      <c r="R58" s="178"/>
    </row>
    <row r="59" spans="1:18" ht="12.75" x14ac:dyDescent="0.2">
      <c r="A59" s="713">
        <v>1472</v>
      </c>
      <c r="B59" s="233" t="s">
        <v>2778</v>
      </c>
      <c r="C59" s="310">
        <v>6576119.4000000004</v>
      </c>
      <c r="D59" s="310">
        <v>2748551.35</v>
      </c>
      <c r="E59" s="310">
        <f t="shared" si="0"/>
        <v>3827568.0500000003</v>
      </c>
      <c r="F59" s="711"/>
      <c r="G59" s="310">
        <v>1467576.7999999989</v>
      </c>
      <c r="H59" s="310">
        <f t="shared" si="2"/>
        <v>5198414.0000000009</v>
      </c>
      <c r="I59" s="310">
        <v>6665990.7999999998</v>
      </c>
      <c r="J59" s="310">
        <f t="shared" si="3"/>
        <v>2748551.35</v>
      </c>
      <c r="K59" s="310">
        <v>0</v>
      </c>
      <c r="L59" s="739">
        <f t="shared" si="1"/>
        <v>3917439.4499999997</v>
      </c>
      <c r="M59" s="178"/>
      <c r="N59" s="178"/>
      <c r="O59" s="178"/>
      <c r="P59" s="178"/>
      <c r="Q59" s="178"/>
      <c r="R59" s="178"/>
    </row>
    <row r="60" spans="1:18" ht="12.75" x14ac:dyDescent="0.2">
      <c r="A60" s="713">
        <v>1474</v>
      </c>
      <c r="B60" s="233" t="s">
        <v>2779</v>
      </c>
      <c r="C60" s="310">
        <v>5741240</v>
      </c>
      <c r="D60" s="310">
        <v>10171979.75</v>
      </c>
      <c r="E60" s="310">
        <f t="shared" si="0"/>
        <v>-4430739.75</v>
      </c>
      <c r="F60" s="711"/>
      <c r="G60" s="310">
        <v>4013208.799999997</v>
      </c>
      <c r="H60" s="310">
        <f t="shared" si="2"/>
        <v>17048637.500000004</v>
      </c>
      <c r="I60" s="310">
        <v>21061846.300000001</v>
      </c>
      <c r="J60" s="310">
        <f t="shared" si="3"/>
        <v>10171979.75</v>
      </c>
      <c r="K60" s="310">
        <v>0</v>
      </c>
      <c r="L60" s="739">
        <f t="shared" si="1"/>
        <v>10889866.550000001</v>
      </c>
      <c r="M60" s="178"/>
      <c r="N60" s="178"/>
      <c r="O60" s="178"/>
      <c r="P60" s="178"/>
      <c r="Q60" s="178"/>
      <c r="R60" s="178"/>
    </row>
    <row r="61" spans="1:18" ht="12.75" x14ac:dyDescent="0.2">
      <c r="A61" s="713">
        <v>1476</v>
      </c>
      <c r="B61" s="233" t="s">
        <v>2780</v>
      </c>
      <c r="C61" s="310">
        <v>14173066.51</v>
      </c>
      <c r="D61" s="310">
        <v>0</v>
      </c>
      <c r="E61" s="310">
        <f t="shared" si="0"/>
        <v>14173066.51</v>
      </c>
      <c r="F61" s="711"/>
      <c r="G61" s="310">
        <v>7889049.5099999979</v>
      </c>
      <c r="H61" s="310">
        <f t="shared" si="2"/>
        <v>3283730.0000000019</v>
      </c>
      <c r="I61" s="310">
        <v>11172779.51</v>
      </c>
      <c r="J61" s="310">
        <f t="shared" si="3"/>
        <v>0</v>
      </c>
      <c r="K61" s="310">
        <v>3283730</v>
      </c>
      <c r="L61" s="739">
        <f t="shared" si="1"/>
        <v>7889049.5099999998</v>
      </c>
      <c r="M61" s="178"/>
      <c r="N61" s="178"/>
      <c r="O61" s="178"/>
      <c r="P61" s="178"/>
      <c r="Q61" s="178"/>
      <c r="R61" s="178"/>
    </row>
    <row r="62" spans="1:18" ht="12.75" x14ac:dyDescent="0.2">
      <c r="A62" s="713">
        <v>1477</v>
      </c>
      <c r="B62" s="233" t="s">
        <v>2781</v>
      </c>
      <c r="C62" s="310">
        <v>211460.34</v>
      </c>
      <c r="D62" s="310">
        <v>120035.4</v>
      </c>
      <c r="E62" s="310">
        <f t="shared" si="0"/>
        <v>91424.94</v>
      </c>
      <c r="F62" s="711"/>
      <c r="G62" s="310">
        <v>152919.41</v>
      </c>
      <c r="H62" s="310">
        <f t="shared" si="2"/>
        <v>211460.34</v>
      </c>
      <c r="I62" s="310">
        <v>364379.75</v>
      </c>
      <c r="J62" s="310">
        <f t="shared" si="3"/>
        <v>120035.4</v>
      </c>
      <c r="K62" s="310">
        <v>0</v>
      </c>
      <c r="L62" s="739">
        <f t="shared" si="1"/>
        <v>244344.35</v>
      </c>
      <c r="M62" s="178"/>
      <c r="N62" s="178"/>
      <c r="O62" s="178"/>
      <c r="P62" s="178"/>
      <c r="Q62" s="178"/>
      <c r="R62" s="178"/>
    </row>
    <row r="63" spans="1:18" ht="12.75" x14ac:dyDescent="0.2">
      <c r="A63" s="713">
        <v>1478</v>
      </c>
      <c r="B63" s="233" t="s">
        <v>2782</v>
      </c>
      <c r="C63" s="310">
        <v>0</v>
      </c>
      <c r="D63" s="310">
        <v>0</v>
      </c>
      <c r="E63" s="310">
        <f t="shared" si="0"/>
        <v>0</v>
      </c>
      <c r="F63" s="711"/>
      <c r="G63" s="310">
        <v>2375521.9699999997</v>
      </c>
      <c r="H63" s="310">
        <f t="shared" si="2"/>
        <v>0</v>
      </c>
      <c r="I63" s="310">
        <v>2375521.9700000002</v>
      </c>
      <c r="J63" s="310">
        <f t="shared" si="3"/>
        <v>0</v>
      </c>
      <c r="K63" s="310">
        <v>0</v>
      </c>
      <c r="L63" s="739">
        <f t="shared" si="1"/>
        <v>2375521.9700000002</v>
      </c>
      <c r="M63" s="178"/>
      <c r="N63" s="178"/>
      <c r="O63" s="178"/>
      <c r="P63" s="178"/>
      <c r="Q63" s="178"/>
      <c r="R63" s="178"/>
    </row>
    <row r="64" spans="1:18" ht="12.75" x14ac:dyDescent="0.2">
      <c r="A64" s="713">
        <v>1482</v>
      </c>
      <c r="B64" s="233" t="s">
        <v>3559</v>
      </c>
      <c r="C64" s="310">
        <v>12410160</v>
      </c>
      <c r="D64" s="310">
        <v>541718.69999999995</v>
      </c>
      <c r="E64" s="310">
        <f>C64-D64</f>
        <v>11868441.300000001</v>
      </c>
      <c r="F64" s="711"/>
      <c r="G64" s="310">
        <v>0</v>
      </c>
      <c r="H64" s="310">
        <f>I64-G64</f>
        <v>12410160</v>
      </c>
      <c r="I64" s="310">
        <v>12410160</v>
      </c>
      <c r="J64" s="310">
        <f>D64</f>
        <v>541718.69999999995</v>
      </c>
      <c r="K64" s="310">
        <v>0</v>
      </c>
      <c r="L64" s="739">
        <f t="shared" si="1"/>
        <v>11868441.300000001</v>
      </c>
      <c r="M64" s="178"/>
      <c r="N64" s="178"/>
      <c r="O64" s="178"/>
      <c r="P64" s="178"/>
      <c r="Q64" s="178"/>
      <c r="R64" s="178"/>
    </row>
    <row r="65" spans="1:18" ht="12.75" x14ac:dyDescent="0.2">
      <c r="A65" s="713">
        <v>1486</v>
      </c>
      <c r="B65" s="233" t="s">
        <v>1716</v>
      </c>
      <c r="C65" s="310">
        <v>0</v>
      </c>
      <c r="D65" s="310">
        <v>0</v>
      </c>
      <c r="E65" s="310">
        <f t="shared" si="0"/>
        <v>0</v>
      </c>
      <c r="F65" s="711"/>
      <c r="G65" s="310">
        <v>422644.94</v>
      </c>
      <c r="H65" s="310">
        <f t="shared" si="2"/>
        <v>0</v>
      </c>
      <c r="I65" s="310">
        <v>422644.94</v>
      </c>
      <c r="J65" s="310">
        <f t="shared" si="3"/>
        <v>0</v>
      </c>
      <c r="K65" s="310">
        <v>0</v>
      </c>
      <c r="L65" s="739">
        <f t="shared" si="1"/>
        <v>422644.94</v>
      </c>
      <c r="M65" s="178"/>
      <c r="N65" s="178"/>
      <c r="O65" s="178"/>
      <c r="P65" s="178"/>
      <c r="Q65" s="178"/>
      <c r="R65" s="178"/>
    </row>
    <row r="66" spans="1:18" ht="12.75" x14ac:dyDescent="0.2">
      <c r="A66" s="713">
        <v>1493</v>
      </c>
      <c r="B66" s="233" t="s">
        <v>3560</v>
      </c>
      <c r="C66" s="310">
        <v>5651801.6600000001</v>
      </c>
      <c r="D66" s="310">
        <v>5087540.5</v>
      </c>
      <c r="E66" s="310">
        <f t="shared" si="0"/>
        <v>564261.16000000015</v>
      </c>
      <c r="F66" s="711"/>
      <c r="G66" s="310">
        <v>1151801.6600000001</v>
      </c>
      <c r="H66" s="310">
        <f t="shared" si="2"/>
        <v>3599028.0300000003</v>
      </c>
      <c r="I66" s="310">
        <v>4750829.6900000004</v>
      </c>
      <c r="J66" s="310">
        <f t="shared" si="3"/>
        <v>5087540.5</v>
      </c>
      <c r="K66" s="310">
        <v>0</v>
      </c>
      <c r="L66" s="739">
        <f t="shared" si="1"/>
        <v>-336710.80999999959</v>
      </c>
      <c r="M66" s="178"/>
      <c r="N66" s="178"/>
      <c r="O66" s="178"/>
      <c r="P66" s="178"/>
      <c r="Q66" s="178"/>
      <c r="R66" s="178"/>
    </row>
    <row r="67" spans="1:18" ht="12.75" x14ac:dyDescent="0.2">
      <c r="A67" s="713">
        <v>1499</v>
      </c>
      <c r="B67" s="233" t="s">
        <v>1718</v>
      </c>
      <c r="C67" s="310">
        <v>431341047.5</v>
      </c>
      <c r="D67" s="310">
        <v>132866792</v>
      </c>
      <c r="E67" s="310">
        <f t="shared" si="0"/>
        <v>298474255.5</v>
      </c>
      <c r="F67" s="711"/>
      <c r="G67" s="310">
        <v>31341047.5</v>
      </c>
      <c r="H67" s="310">
        <f t="shared" si="2"/>
        <v>400000000</v>
      </c>
      <c r="I67" s="310">
        <v>431341047.5</v>
      </c>
      <c r="J67" s="310">
        <f t="shared" si="3"/>
        <v>132866792</v>
      </c>
      <c r="K67" s="310">
        <v>278288640</v>
      </c>
      <c r="L67" s="739">
        <f t="shared" si="1"/>
        <v>20185615.5</v>
      </c>
      <c r="M67" s="178"/>
      <c r="N67" s="178"/>
      <c r="O67" s="178"/>
      <c r="P67" s="178"/>
      <c r="Q67" s="178"/>
      <c r="R67" s="178"/>
    </row>
    <row r="68" spans="1:18" ht="12.75" x14ac:dyDescent="0.2">
      <c r="A68" s="713">
        <v>1501</v>
      </c>
      <c r="B68" s="233" t="s">
        <v>1719</v>
      </c>
      <c r="C68" s="310">
        <v>1799138.8</v>
      </c>
      <c r="D68" s="310">
        <v>1108195</v>
      </c>
      <c r="E68" s="310">
        <f t="shared" ref="E68:E131" si="4">C68-D68</f>
        <v>690943.8</v>
      </c>
      <c r="F68" s="711"/>
      <c r="G68" s="310">
        <v>1650288.7000000002</v>
      </c>
      <c r="H68" s="310">
        <f t="shared" si="2"/>
        <v>148849.99999999977</v>
      </c>
      <c r="I68" s="310">
        <v>1799138.7</v>
      </c>
      <c r="J68" s="310">
        <f t="shared" si="3"/>
        <v>1108195</v>
      </c>
      <c r="K68" s="310">
        <v>0</v>
      </c>
      <c r="L68" s="739">
        <f t="shared" si="1"/>
        <v>690943.7</v>
      </c>
      <c r="M68" s="178"/>
      <c r="N68" s="178"/>
      <c r="O68" s="178"/>
      <c r="P68" s="178"/>
      <c r="Q68" s="178"/>
      <c r="R68" s="178"/>
    </row>
    <row r="69" spans="1:18" ht="12.75" x14ac:dyDescent="0.2">
      <c r="A69" s="713">
        <v>1504</v>
      </c>
      <c r="B69" s="233" t="s">
        <v>2783</v>
      </c>
      <c r="C69" s="310">
        <v>18537980.68</v>
      </c>
      <c r="D69" s="310">
        <v>12794157.550000001</v>
      </c>
      <c r="E69" s="310">
        <f t="shared" si="4"/>
        <v>5743823.129999999</v>
      </c>
      <c r="F69" s="711"/>
      <c r="G69" s="310">
        <v>16811189.879999999</v>
      </c>
      <c r="H69" s="310">
        <f t="shared" ref="H69:H132" si="5">I69-G69</f>
        <v>9583096</v>
      </c>
      <c r="I69" s="310">
        <v>26394285.879999999</v>
      </c>
      <c r="J69" s="310">
        <f t="shared" si="3"/>
        <v>12794157.550000001</v>
      </c>
      <c r="K69" s="310">
        <v>0</v>
      </c>
      <c r="L69" s="739">
        <f t="shared" ref="L69:L132" si="6">I69-J69-K69</f>
        <v>13600128.329999998</v>
      </c>
      <c r="M69" s="178"/>
      <c r="N69" s="178"/>
      <c r="O69" s="178"/>
      <c r="P69" s="178"/>
      <c r="Q69" s="178"/>
      <c r="R69" s="178"/>
    </row>
    <row r="70" spans="1:18" ht="12.75" x14ac:dyDescent="0.2">
      <c r="A70" s="713">
        <v>1506</v>
      </c>
      <c r="B70" s="233" t="s">
        <v>2336</v>
      </c>
      <c r="C70" s="310">
        <v>2000000</v>
      </c>
      <c r="D70" s="310">
        <v>0</v>
      </c>
      <c r="E70" s="310">
        <f t="shared" si="4"/>
        <v>2000000</v>
      </c>
      <c r="F70" s="711"/>
      <c r="G70" s="310">
        <v>0</v>
      </c>
      <c r="H70" s="310">
        <f t="shared" si="5"/>
        <v>0</v>
      </c>
      <c r="I70" s="310">
        <v>0</v>
      </c>
      <c r="J70" s="310">
        <f t="shared" ref="J70:J112" si="7">D70</f>
        <v>0</v>
      </c>
      <c r="K70" s="310">
        <v>0</v>
      </c>
      <c r="L70" s="739">
        <f t="shared" si="6"/>
        <v>0</v>
      </c>
      <c r="M70" s="178"/>
      <c r="N70" s="178"/>
      <c r="O70" s="178"/>
      <c r="P70" s="178"/>
      <c r="Q70" s="178"/>
      <c r="R70" s="178"/>
    </row>
    <row r="71" spans="1:18" ht="12.75" x14ac:dyDescent="0.2">
      <c r="A71" s="713">
        <v>1509</v>
      </c>
      <c r="B71" s="233" t="s">
        <v>1802</v>
      </c>
      <c r="C71" s="310">
        <v>2398472.85</v>
      </c>
      <c r="D71" s="310">
        <v>398230</v>
      </c>
      <c r="E71" s="310">
        <f t="shared" si="4"/>
        <v>2000242.85</v>
      </c>
      <c r="F71" s="711"/>
      <c r="G71" s="310">
        <v>2114013.3000000003</v>
      </c>
      <c r="H71" s="310">
        <f t="shared" si="5"/>
        <v>284459.59999999963</v>
      </c>
      <c r="I71" s="310">
        <v>2398472.9</v>
      </c>
      <c r="J71" s="310">
        <f t="shared" si="7"/>
        <v>398230</v>
      </c>
      <c r="K71" s="310">
        <v>284459.59999999998</v>
      </c>
      <c r="L71" s="739">
        <f t="shared" si="6"/>
        <v>1715783.2999999998</v>
      </c>
      <c r="M71" s="178"/>
      <c r="N71" s="178"/>
      <c r="O71" s="178"/>
      <c r="P71" s="178"/>
      <c r="Q71" s="178"/>
      <c r="R71" s="178"/>
    </row>
    <row r="72" spans="1:18" ht="12.75" x14ac:dyDescent="0.2">
      <c r="A72" s="713">
        <v>1510</v>
      </c>
      <c r="B72" s="233" t="s">
        <v>2337</v>
      </c>
      <c r="C72" s="310">
        <v>0</v>
      </c>
      <c r="D72" s="310">
        <v>0</v>
      </c>
      <c r="E72" s="310">
        <f t="shared" si="4"/>
        <v>0</v>
      </c>
      <c r="F72" s="711"/>
      <c r="G72" s="310">
        <v>1048632.6399999999</v>
      </c>
      <c r="H72" s="310">
        <f t="shared" si="5"/>
        <v>0</v>
      </c>
      <c r="I72" s="310">
        <v>1048632.6399999999</v>
      </c>
      <c r="J72" s="310">
        <f t="shared" si="7"/>
        <v>0</v>
      </c>
      <c r="K72" s="310">
        <v>0</v>
      </c>
      <c r="L72" s="739">
        <f t="shared" si="6"/>
        <v>1048632.6399999999</v>
      </c>
      <c r="M72" s="178"/>
      <c r="N72" s="178"/>
      <c r="O72" s="178"/>
      <c r="P72" s="178"/>
      <c r="Q72" s="178"/>
      <c r="R72" s="178"/>
    </row>
    <row r="73" spans="1:18" ht="12.75" x14ac:dyDescent="0.2">
      <c r="A73" s="713">
        <v>1512</v>
      </c>
      <c r="B73" s="233" t="s">
        <v>1803</v>
      </c>
      <c r="C73" s="310">
        <v>0</v>
      </c>
      <c r="D73" s="310">
        <v>0</v>
      </c>
      <c r="E73" s="310">
        <f t="shared" si="4"/>
        <v>0</v>
      </c>
      <c r="F73" s="711"/>
      <c r="G73" s="310">
        <v>1734520.3500000006</v>
      </c>
      <c r="H73" s="310">
        <f t="shared" si="5"/>
        <v>0</v>
      </c>
      <c r="I73" s="310">
        <v>1734520.35</v>
      </c>
      <c r="J73" s="310">
        <f t="shared" si="7"/>
        <v>0</v>
      </c>
      <c r="K73" s="310">
        <v>0</v>
      </c>
      <c r="L73" s="739">
        <f t="shared" si="6"/>
        <v>1734520.35</v>
      </c>
      <c r="M73" s="178"/>
      <c r="N73" s="178"/>
      <c r="O73" s="178"/>
      <c r="P73" s="178"/>
      <c r="Q73" s="178"/>
      <c r="R73" s="178"/>
    </row>
    <row r="74" spans="1:18" ht="12.75" x14ac:dyDescent="0.2">
      <c r="A74" s="713">
        <v>1513</v>
      </c>
      <c r="B74" s="233" t="s">
        <v>1804</v>
      </c>
      <c r="C74" s="310">
        <v>16175259</v>
      </c>
      <c r="D74" s="310">
        <v>0</v>
      </c>
      <c r="E74" s="310">
        <f t="shared" si="4"/>
        <v>16175259</v>
      </c>
      <c r="F74" s="711"/>
      <c r="G74" s="310">
        <v>4096925.75</v>
      </c>
      <c r="H74" s="310">
        <f t="shared" si="5"/>
        <v>12078334</v>
      </c>
      <c r="I74" s="310">
        <v>16175259.75</v>
      </c>
      <c r="J74" s="310">
        <f t="shared" si="7"/>
        <v>0</v>
      </c>
      <c r="K74" s="310">
        <v>0</v>
      </c>
      <c r="L74" s="739">
        <f t="shared" si="6"/>
        <v>16175259.75</v>
      </c>
      <c r="M74" s="178"/>
      <c r="N74" s="178"/>
      <c r="O74" s="178"/>
      <c r="P74" s="178"/>
      <c r="Q74" s="178"/>
      <c r="R74" s="178"/>
    </row>
    <row r="75" spans="1:18" ht="12.75" x14ac:dyDescent="0.2">
      <c r="A75" s="713">
        <v>1515</v>
      </c>
      <c r="B75" s="233" t="s">
        <v>1806</v>
      </c>
      <c r="C75" s="310">
        <v>4935142.4000000004</v>
      </c>
      <c r="D75" s="310">
        <v>4590040.7</v>
      </c>
      <c r="E75" s="310">
        <f t="shared" si="4"/>
        <v>345101.70000000019</v>
      </c>
      <c r="F75" s="711"/>
      <c r="G75" s="310">
        <v>4903988.3600000022</v>
      </c>
      <c r="H75" s="310">
        <f t="shared" si="5"/>
        <v>14328.949999997392</v>
      </c>
      <c r="I75" s="310">
        <v>4918317.3099999996</v>
      </c>
      <c r="J75" s="310">
        <f t="shared" si="7"/>
        <v>4590040.7</v>
      </c>
      <c r="K75" s="310">
        <v>0</v>
      </c>
      <c r="L75" s="739">
        <f t="shared" si="6"/>
        <v>328276.6099999994</v>
      </c>
      <c r="M75" s="178"/>
      <c r="N75" s="178"/>
      <c r="O75" s="178"/>
      <c r="P75" s="178"/>
      <c r="Q75" s="178"/>
      <c r="R75" s="178"/>
    </row>
    <row r="76" spans="1:18" ht="12.75" x14ac:dyDescent="0.2">
      <c r="A76" s="713">
        <v>1516</v>
      </c>
      <c r="B76" s="233" t="s">
        <v>1808</v>
      </c>
      <c r="C76" s="310">
        <v>2836787.15</v>
      </c>
      <c r="D76" s="310">
        <v>2778953.85</v>
      </c>
      <c r="E76" s="310">
        <f t="shared" si="4"/>
        <v>57833.299999999814</v>
      </c>
      <c r="F76" s="711"/>
      <c r="G76" s="310">
        <v>156898.50000000047</v>
      </c>
      <c r="H76" s="310">
        <f t="shared" si="5"/>
        <v>2836787.1499999994</v>
      </c>
      <c r="I76" s="310">
        <v>2993685.65</v>
      </c>
      <c r="J76" s="310">
        <f t="shared" si="7"/>
        <v>2778953.85</v>
      </c>
      <c r="K76" s="310">
        <v>56957.19</v>
      </c>
      <c r="L76" s="739">
        <f t="shared" si="6"/>
        <v>157774.60999999981</v>
      </c>
      <c r="M76" s="178"/>
      <c r="N76" s="178"/>
      <c r="O76" s="178"/>
      <c r="P76" s="178"/>
      <c r="Q76" s="178"/>
      <c r="R76" s="178"/>
    </row>
    <row r="77" spans="1:18" ht="12.75" x14ac:dyDescent="0.2">
      <c r="A77" s="713">
        <v>1517</v>
      </c>
      <c r="B77" s="233" t="s">
        <v>2256</v>
      </c>
      <c r="C77" s="310">
        <v>6397000</v>
      </c>
      <c r="D77" s="310">
        <v>6393911.4000000004</v>
      </c>
      <c r="E77" s="310">
        <f t="shared" si="4"/>
        <v>3088.5999999996275</v>
      </c>
      <c r="F77" s="711"/>
      <c r="G77" s="310">
        <v>242034.58000000007</v>
      </c>
      <c r="H77" s="310">
        <f t="shared" si="5"/>
        <v>13583313.050000001</v>
      </c>
      <c r="I77" s="310">
        <v>13825347.630000001</v>
      </c>
      <c r="J77" s="310">
        <f t="shared" si="7"/>
        <v>6393911.4000000004</v>
      </c>
      <c r="K77" s="310">
        <v>0</v>
      </c>
      <c r="L77" s="739">
        <f t="shared" si="6"/>
        <v>7431436.2300000004</v>
      </c>
      <c r="M77" s="178"/>
      <c r="N77" s="178"/>
      <c r="O77" s="178"/>
      <c r="P77" s="178"/>
      <c r="Q77" s="178"/>
      <c r="R77" s="178"/>
    </row>
    <row r="78" spans="1:18" ht="12.75" x14ac:dyDescent="0.2">
      <c r="A78" s="713">
        <v>1518</v>
      </c>
      <c r="B78" s="233" t="s">
        <v>2784</v>
      </c>
      <c r="C78" s="310">
        <v>0</v>
      </c>
      <c r="D78" s="310">
        <v>0</v>
      </c>
      <c r="E78" s="310">
        <f t="shared" si="4"/>
        <v>0</v>
      </c>
      <c r="F78" s="711"/>
      <c r="G78" s="310">
        <v>7032506</v>
      </c>
      <c r="H78" s="310">
        <f t="shared" si="5"/>
        <v>0</v>
      </c>
      <c r="I78" s="310">
        <v>7032506</v>
      </c>
      <c r="J78" s="310">
        <f t="shared" si="7"/>
        <v>0</v>
      </c>
      <c r="K78" s="310">
        <v>0</v>
      </c>
      <c r="L78" s="739">
        <f t="shared" si="6"/>
        <v>7032506</v>
      </c>
      <c r="M78" s="178"/>
      <c r="N78" s="178"/>
      <c r="O78" s="178"/>
      <c r="P78" s="178"/>
      <c r="Q78" s="178"/>
      <c r="R78" s="178"/>
    </row>
    <row r="79" spans="1:18" ht="12.75" x14ac:dyDescent="0.2">
      <c r="A79" s="713">
        <v>1519</v>
      </c>
      <c r="B79" s="233" t="s">
        <v>1480</v>
      </c>
      <c r="C79" s="310">
        <v>6750422628.1000004</v>
      </c>
      <c r="D79" s="310">
        <v>2218172026.9400001</v>
      </c>
      <c r="E79" s="310">
        <f t="shared" si="4"/>
        <v>4532250601.1599998</v>
      </c>
      <c r="F79" s="711"/>
      <c r="G79" s="310">
        <v>773531946.01000047</v>
      </c>
      <c r="H79" s="310">
        <f t="shared" si="5"/>
        <v>3745564583.6499996</v>
      </c>
      <c r="I79" s="310">
        <v>4519096529.6599998</v>
      </c>
      <c r="J79" s="310">
        <f t="shared" si="7"/>
        <v>2218172026.9400001</v>
      </c>
      <c r="K79" s="310">
        <v>947380135.61000001</v>
      </c>
      <c r="L79" s="739">
        <f t="shared" si="6"/>
        <v>1353544367.1099997</v>
      </c>
      <c r="M79" s="178"/>
      <c r="N79" s="178"/>
      <c r="O79" s="178"/>
      <c r="P79" s="178"/>
      <c r="Q79" s="178"/>
      <c r="R79" s="178"/>
    </row>
    <row r="80" spans="1:18" ht="12.75" x14ac:dyDescent="0.2">
      <c r="A80" s="713">
        <v>1520</v>
      </c>
      <c r="B80" s="233" t="s">
        <v>1682</v>
      </c>
      <c r="C80" s="310">
        <v>0</v>
      </c>
      <c r="D80" s="310">
        <v>0</v>
      </c>
      <c r="E80" s="310">
        <f t="shared" si="4"/>
        <v>0</v>
      </c>
      <c r="F80" s="711"/>
      <c r="G80" s="310">
        <v>246218.27</v>
      </c>
      <c r="H80" s="310">
        <f t="shared" si="5"/>
        <v>0</v>
      </c>
      <c r="I80" s="310">
        <v>246218.27</v>
      </c>
      <c r="J80" s="310">
        <f t="shared" si="7"/>
        <v>0</v>
      </c>
      <c r="K80" s="310">
        <v>0</v>
      </c>
      <c r="L80" s="739">
        <f t="shared" si="6"/>
        <v>246218.27</v>
      </c>
      <c r="M80" s="178"/>
      <c r="N80" s="178"/>
      <c r="O80" s="178"/>
      <c r="P80" s="178"/>
      <c r="Q80" s="178"/>
      <c r="R80" s="178"/>
    </row>
    <row r="81" spans="1:18" ht="12.75" x14ac:dyDescent="0.2">
      <c r="A81" s="713">
        <v>1528</v>
      </c>
      <c r="B81" s="233" t="s">
        <v>3561</v>
      </c>
      <c r="C81" s="310">
        <v>0</v>
      </c>
      <c r="D81" s="310">
        <v>0</v>
      </c>
      <c r="E81" s="310">
        <f>C81-D81</f>
        <v>0</v>
      </c>
      <c r="F81" s="711"/>
      <c r="G81" s="310">
        <v>0</v>
      </c>
      <c r="H81" s="310">
        <f>I81-G81</f>
        <v>77562598.040000007</v>
      </c>
      <c r="I81" s="310">
        <v>77562598.040000007</v>
      </c>
      <c r="J81" s="310">
        <f>D81</f>
        <v>0</v>
      </c>
      <c r="K81" s="310">
        <v>0</v>
      </c>
      <c r="L81" s="739">
        <f t="shared" si="6"/>
        <v>77562598.040000007</v>
      </c>
      <c r="M81" s="178"/>
      <c r="N81" s="178"/>
      <c r="O81" s="178"/>
      <c r="P81" s="178"/>
      <c r="Q81" s="178"/>
      <c r="R81" s="178"/>
    </row>
    <row r="82" spans="1:18" ht="12.75" x14ac:dyDescent="0.2">
      <c r="A82" s="713">
        <v>1529</v>
      </c>
      <c r="B82" s="233" t="s">
        <v>1475</v>
      </c>
      <c r="C82" s="310">
        <v>45022185.700000003</v>
      </c>
      <c r="D82" s="310">
        <v>11827098.050000001</v>
      </c>
      <c r="E82" s="310">
        <f t="shared" si="4"/>
        <v>33195087.650000002</v>
      </c>
      <c r="F82" s="711"/>
      <c r="G82" s="310">
        <v>2.9795046430081129E-9</v>
      </c>
      <c r="H82" s="310">
        <f t="shared" si="5"/>
        <v>4633339.9499999974</v>
      </c>
      <c r="I82" s="310">
        <v>4633339.95</v>
      </c>
      <c r="J82" s="310">
        <f t="shared" si="7"/>
        <v>11827098.050000001</v>
      </c>
      <c r="K82" s="310">
        <v>0</v>
      </c>
      <c r="L82" s="739">
        <f t="shared" si="6"/>
        <v>-7193758.1000000006</v>
      </c>
      <c r="M82" s="178"/>
      <c r="N82" s="178"/>
      <c r="O82" s="178"/>
      <c r="P82" s="178"/>
      <c r="Q82" s="178"/>
      <c r="R82" s="178"/>
    </row>
    <row r="83" spans="1:18" ht="12.75" x14ac:dyDescent="0.2">
      <c r="A83" s="713">
        <v>1533</v>
      </c>
      <c r="B83" s="233" t="s">
        <v>1809</v>
      </c>
      <c r="C83" s="310">
        <v>4143600</v>
      </c>
      <c r="D83" s="310">
        <v>4143600</v>
      </c>
      <c r="E83" s="310">
        <f t="shared" si="4"/>
        <v>0</v>
      </c>
      <c r="F83" s="711"/>
      <c r="G83" s="310">
        <v>0</v>
      </c>
      <c r="H83" s="310">
        <f t="shared" si="5"/>
        <v>4143600</v>
      </c>
      <c r="I83" s="310">
        <v>4143600</v>
      </c>
      <c r="J83" s="310">
        <f t="shared" si="7"/>
        <v>4143600</v>
      </c>
      <c r="K83" s="310">
        <v>0</v>
      </c>
      <c r="L83" s="739">
        <f t="shared" si="6"/>
        <v>0</v>
      </c>
      <c r="M83" s="178"/>
      <c r="N83" s="178"/>
      <c r="O83" s="178"/>
      <c r="P83" s="178"/>
      <c r="Q83" s="178"/>
      <c r="R83" s="178"/>
    </row>
    <row r="84" spans="1:18" ht="12.75" x14ac:dyDescent="0.2">
      <c r="A84" s="713">
        <v>1540</v>
      </c>
      <c r="B84" s="233" t="s">
        <v>2257</v>
      </c>
      <c r="C84" s="310">
        <v>0</v>
      </c>
      <c r="D84" s="310">
        <v>0</v>
      </c>
      <c r="E84" s="310">
        <f t="shared" si="4"/>
        <v>0</v>
      </c>
      <c r="F84" s="711"/>
      <c r="G84" s="310">
        <v>42963.150000000373</v>
      </c>
      <c r="H84" s="310">
        <f t="shared" si="5"/>
        <v>-3.7107383832335472E-10</v>
      </c>
      <c r="I84" s="310">
        <v>42963.15</v>
      </c>
      <c r="J84" s="310">
        <f t="shared" si="7"/>
        <v>0</v>
      </c>
      <c r="K84" s="310">
        <v>0</v>
      </c>
      <c r="L84" s="739">
        <f t="shared" si="6"/>
        <v>42963.15</v>
      </c>
      <c r="M84" s="178"/>
      <c r="N84" s="178"/>
      <c r="O84" s="178"/>
      <c r="P84" s="178"/>
      <c r="Q84" s="178"/>
      <c r="R84" s="178"/>
    </row>
    <row r="85" spans="1:18" ht="12.75" x14ac:dyDescent="0.2">
      <c r="A85" s="713">
        <v>1542</v>
      </c>
      <c r="B85" s="233" t="s">
        <v>2338</v>
      </c>
      <c r="C85" s="310">
        <v>1920256.31</v>
      </c>
      <c r="D85" s="310">
        <v>0</v>
      </c>
      <c r="E85" s="310">
        <f t="shared" si="4"/>
        <v>1920256.31</v>
      </c>
      <c r="F85" s="711"/>
      <c r="G85" s="310">
        <v>321312.31000000006</v>
      </c>
      <c r="H85" s="310">
        <f t="shared" si="5"/>
        <v>1348944</v>
      </c>
      <c r="I85" s="310">
        <v>1670256.31</v>
      </c>
      <c r="J85" s="310">
        <f t="shared" si="7"/>
        <v>0</v>
      </c>
      <c r="K85" s="310">
        <v>1598944</v>
      </c>
      <c r="L85" s="739">
        <f t="shared" si="6"/>
        <v>71312.310000000056</v>
      </c>
      <c r="M85" s="178"/>
      <c r="N85" s="178"/>
      <c r="O85" s="178"/>
      <c r="P85" s="178"/>
      <c r="Q85" s="178"/>
      <c r="R85" s="178"/>
    </row>
    <row r="86" spans="1:18" ht="12.75" x14ac:dyDescent="0.2">
      <c r="A86" s="713">
        <v>1551</v>
      </c>
      <c r="B86" s="233" t="s">
        <v>2339</v>
      </c>
      <c r="C86" s="310">
        <v>110221000</v>
      </c>
      <c r="D86" s="310">
        <v>19344898.18</v>
      </c>
      <c r="E86" s="310">
        <f t="shared" si="4"/>
        <v>90876101.819999993</v>
      </c>
      <c r="F86" s="711"/>
      <c r="G86" s="310">
        <v>110732054.18000001</v>
      </c>
      <c r="H86" s="310">
        <f t="shared" si="5"/>
        <v>16577865</v>
      </c>
      <c r="I86" s="310">
        <v>127309919.18000001</v>
      </c>
      <c r="J86" s="310">
        <f t="shared" si="7"/>
        <v>19344898.18</v>
      </c>
      <c r="K86" s="310">
        <v>0</v>
      </c>
      <c r="L86" s="739">
        <f t="shared" si="6"/>
        <v>107965021</v>
      </c>
      <c r="M86" s="178"/>
      <c r="N86" s="178"/>
      <c r="O86" s="178"/>
      <c r="P86" s="178"/>
      <c r="Q86" s="178"/>
      <c r="R86" s="178"/>
    </row>
    <row r="87" spans="1:18" ht="12.75" x14ac:dyDescent="0.2">
      <c r="A87" s="713">
        <v>1560</v>
      </c>
      <c r="B87" s="233" t="s">
        <v>1810</v>
      </c>
      <c r="C87" s="310">
        <v>0</v>
      </c>
      <c r="D87" s="310">
        <v>0</v>
      </c>
      <c r="E87" s="310">
        <f t="shared" si="4"/>
        <v>0</v>
      </c>
      <c r="F87" s="711"/>
      <c r="G87" s="310">
        <v>0.17000001668930054</v>
      </c>
      <c r="H87" s="310">
        <f t="shared" si="5"/>
        <v>-1.6689300524896922E-8</v>
      </c>
      <c r="I87" s="310">
        <v>0.17</v>
      </c>
      <c r="J87" s="310">
        <f t="shared" si="7"/>
        <v>0</v>
      </c>
      <c r="K87" s="310">
        <v>0</v>
      </c>
      <c r="L87" s="739">
        <f t="shared" si="6"/>
        <v>0.17</v>
      </c>
      <c r="M87" s="178"/>
      <c r="N87" s="178"/>
      <c r="O87" s="178"/>
      <c r="P87" s="178"/>
      <c r="Q87" s="178"/>
      <c r="R87" s="178"/>
    </row>
    <row r="88" spans="1:18" ht="12.75" x14ac:dyDescent="0.2">
      <c r="A88" s="713">
        <v>1561</v>
      </c>
      <c r="B88" s="233" t="s">
        <v>2785</v>
      </c>
      <c r="C88" s="310">
        <v>864874.9</v>
      </c>
      <c r="D88" s="310">
        <v>0</v>
      </c>
      <c r="E88" s="310">
        <f t="shared" si="4"/>
        <v>864874.9</v>
      </c>
      <c r="F88" s="711"/>
      <c r="G88" s="310">
        <v>715.31000000087079</v>
      </c>
      <c r="H88" s="310">
        <f t="shared" si="5"/>
        <v>864874.89999999909</v>
      </c>
      <c r="I88" s="310">
        <v>865590.21</v>
      </c>
      <c r="J88" s="310">
        <f t="shared" si="7"/>
        <v>0</v>
      </c>
      <c r="K88" s="310">
        <v>0</v>
      </c>
      <c r="L88" s="739">
        <f t="shared" si="6"/>
        <v>865590.21</v>
      </c>
      <c r="M88" s="178"/>
      <c r="N88" s="178"/>
      <c r="O88" s="178"/>
      <c r="P88" s="178"/>
      <c r="Q88" s="178"/>
      <c r="R88" s="178"/>
    </row>
    <row r="89" spans="1:18" ht="12.75" x14ac:dyDescent="0.2">
      <c r="A89" s="713">
        <v>1564</v>
      </c>
      <c r="B89" s="233" t="s">
        <v>3562</v>
      </c>
      <c r="C89" s="310">
        <v>13839445</v>
      </c>
      <c r="D89" s="310">
        <v>9296331.9000000004</v>
      </c>
      <c r="E89" s="310">
        <f t="shared" si="4"/>
        <v>4543113.0999999996</v>
      </c>
      <c r="F89" s="711"/>
      <c r="G89" s="310">
        <v>13839445</v>
      </c>
      <c r="H89" s="310">
        <f t="shared" si="5"/>
        <v>67711.419999999925</v>
      </c>
      <c r="I89" s="310">
        <v>13907156.42</v>
      </c>
      <c r="J89" s="310">
        <f t="shared" si="7"/>
        <v>9296331.9000000004</v>
      </c>
      <c r="K89" s="310">
        <v>4252246.05</v>
      </c>
      <c r="L89" s="739">
        <f t="shared" si="6"/>
        <v>358578.46999999974</v>
      </c>
      <c r="M89" s="178"/>
      <c r="N89" s="178"/>
      <c r="O89" s="178"/>
      <c r="P89" s="178"/>
      <c r="Q89" s="178"/>
      <c r="R89" s="178"/>
    </row>
    <row r="90" spans="1:18" ht="12.75" x14ac:dyDescent="0.2">
      <c r="A90" s="713">
        <v>1567</v>
      </c>
      <c r="B90" s="233" t="s">
        <v>3563</v>
      </c>
      <c r="C90" s="310">
        <v>40673425.75</v>
      </c>
      <c r="D90" s="310">
        <v>25652798.550000001</v>
      </c>
      <c r="E90" s="310">
        <f t="shared" si="4"/>
        <v>15020627.199999999</v>
      </c>
      <c r="F90" s="711"/>
      <c r="G90" s="310">
        <v>10674425.75</v>
      </c>
      <c r="H90" s="310">
        <f t="shared" si="5"/>
        <v>18000000</v>
      </c>
      <c r="I90" s="310">
        <v>28674425.75</v>
      </c>
      <c r="J90" s="310">
        <f t="shared" si="7"/>
        <v>25652798.550000001</v>
      </c>
      <c r="K90" s="310">
        <v>3590000</v>
      </c>
      <c r="L90" s="739">
        <f t="shared" si="6"/>
        <v>-568372.80000000075</v>
      </c>
      <c r="M90" s="178"/>
      <c r="N90" s="178"/>
      <c r="O90" s="178"/>
      <c r="P90" s="178"/>
      <c r="Q90" s="178"/>
      <c r="R90" s="178"/>
    </row>
    <row r="91" spans="1:18" ht="12.75" x14ac:dyDescent="0.2">
      <c r="A91" s="713">
        <v>1568</v>
      </c>
      <c r="B91" s="233" t="s">
        <v>3564</v>
      </c>
      <c r="C91" s="310">
        <v>0</v>
      </c>
      <c r="D91" s="310">
        <v>0</v>
      </c>
      <c r="E91" s="310">
        <f t="shared" si="4"/>
        <v>0</v>
      </c>
      <c r="F91" s="711"/>
      <c r="G91" s="310">
        <v>14392.699999999953</v>
      </c>
      <c r="H91" s="310">
        <f t="shared" si="5"/>
        <v>-14392.699999999953</v>
      </c>
      <c r="I91" s="310">
        <v>0</v>
      </c>
      <c r="J91" s="310">
        <f t="shared" si="7"/>
        <v>0</v>
      </c>
      <c r="K91" s="310">
        <v>0</v>
      </c>
      <c r="L91" s="739">
        <f t="shared" si="6"/>
        <v>0</v>
      </c>
      <c r="M91" s="178"/>
      <c r="N91" s="178"/>
      <c r="O91" s="178"/>
      <c r="P91" s="178"/>
      <c r="Q91" s="178"/>
      <c r="R91" s="178"/>
    </row>
    <row r="92" spans="1:18" ht="12.75" x14ac:dyDescent="0.2">
      <c r="A92" s="713">
        <v>1589</v>
      </c>
      <c r="B92" s="233" t="s">
        <v>3565</v>
      </c>
      <c r="C92" s="310">
        <v>634005</v>
      </c>
      <c r="D92" s="310">
        <v>634005</v>
      </c>
      <c r="E92" s="310">
        <f t="shared" si="4"/>
        <v>0</v>
      </c>
      <c r="F92" s="711"/>
      <c r="G92" s="310">
        <v>634005</v>
      </c>
      <c r="H92" s="310">
        <f t="shared" si="5"/>
        <v>0</v>
      </c>
      <c r="I92" s="310">
        <v>634005</v>
      </c>
      <c r="J92" s="310">
        <f t="shared" si="7"/>
        <v>634005</v>
      </c>
      <c r="K92" s="310">
        <v>0</v>
      </c>
      <c r="L92" s="739">
        <f t="shared" si="6"/>
        <v>0</v>
      </c>
      <c r="M92" s="178"/>
      <c r="N92" s="178"/>
      <c r="O92" s="178"/>
      <c r="P92" s="178"/>
      <c r="Q92" s="178"/>
      <c r="R92" s="178"/>
    </row>
    <row r="93" spans="1:18" ht="12.75" x14ac:dyDescent="0.2">
      <c r="A93" s="713">
        <v>1575</v>
      </c>
      <c r="B93" s="233" t="s">
        <v>1811</v>
      </c>
      <c r="C93" s="310">
        <v>0</v>
      </c>
      <c r="D93" s="310">
        <v>0</v>
      </c>
      <c r="E93" s="310">
        <f t="shared" si="4"/>
        <v>0</v>
      </c>
      <c r="F93" s="711"/>
      <c r="G93" s="310">
        <v>721491.93</v>
      </c>
      <c r="H93" s="310">
        <f t="shared" si="5"/>
        <v>0</v>
      </c>
      <c r="I93" s="310">
        <v>721491.93</v>
      </c>
      <c r="J93" s="310">
        <f t="shared" si="7"/>
        <v>0</v>
      </c>
      <c r="K93" s="310">
        <v>0</v>
      </c>
      <c r="L93" s="739">
        <f t="shared" si="6"/>
        <v>721491.93</v>
      </c>
      <c r="M93" s="178"/>
      <c r="N93" s="178"/>
      <c r="O93" s="178"/>
      <c r="P93" s="178"/>
      <c r="Q93" s="178"/>
      <c r="R93" s="178"/>
    </row>
    <row r="94" spans="1:18" ht="12.75" x14ac:dyDescent="0.2">
      <c r="A94" s="713">
        <v>1577</v>
      </c>
      <c r="B94" s="233" t="s">
        <v>1620</v>
      </c>
      <c r="C94" s="310">
        <v>40000000</v>
      </c>
      <c r="D94" s="310">
        <v>13956166.6</v>
      </c>
      <c r="E94" s="310">
        <f t="shared" si="4"/>
        <v>26043833.399999999</v>
      </c>
      <c r="F94" s="711"/>
      <c r="G94" s="310">
        <v>4250887.5600000024</v>
      </c>
      <c r="H94" s="310">
        <f t="shared" si="5"/>
        <v>13869999.999999996</v>
      </c>
      <c r="I94" s="310">
        <v>18120887.559999999</v>
      </c>
      <c r="J94" s="310">
        <f t="shared" si="7"/>
        <v>13956166.6</v>
      </c>
      <c r="K94" s="310">
        <v>0</v>
      </c>
      <c r="L94" s="739">
        <f t="shared" si="6"/>
        <v>4164720.959999999</v>
      </c>
      <c r="M94" s="178"/>
      <c r="N94" s="178"/>
      <c r="O94" s="178"/>
      <c r="P94" s="178"/>
      <c r="Q94" s="178"/>
      <c r="R94" s="178"/>
    </row>
    <row r="95" spans="1:18" ht="12.75" x14ac:dyDescent="0.2">
      <c r="A95" s="713">
        <v>1578</v>
      </c>
      <c r="B95" s="233" t="s">
        <v>1621</v>
      </c>
      <c r="C95" s="310">
        <v>0</v>
      </c>
      <c r="D95" s="310">
        <v>0</v>
      </c>
      <c r="E95" s="310">
        <f t="shared" si="4"/>
        <v>0</v>
      </c>
      <c r="F95" s="711"/>
      <c r="G95" s="310">
        <v>2456642.8500000006</v>
      </c>
      <c r="H95" s="310">
        <f t="shared" si="5"/>
        <v>0</v>
      </c>
      <c r="I95" s="310">
        <v>2456642.85</v>
      </c>
      <c r="J95" s="310">
        <f t="shared" si="7"/>
        <v>0</v>
      </c>
      <c r="K95" s="310">
        <v>0</v>
      </c>
      <c r="L95" s="739">
        <f t="shared" si="6"/>
        <v>2456642.85</v>
      </c>
      <c r="M95" s="178"/>
      <c r="N95" s="178"/>
      <c r="O95" s="178"/>
      <c r="P95" s="178"/>
      <c r="Q95" s="178"/>
      <c r="R95" s="178"/>
    </row>
    <row r="96" spans="1:18" ht="12.75" x14ac:dyDescent="0.2">
      <c r="A96" s="713">
        <v>1581</v>
      </c>
      <c r="B96" s="233" t="s">
        <v>1812</v>
      </c>
      <c r="C96" s="310">
        <v>0</v>
      </c>
      <c r="D96" s="310">
        <v>0</v>
      </c>
      <c r="E96" s="310">
        <f t="shared" si="4"/>
        <v>0</v>
      </c>
      <c r="F96" s="711"/>
      <c r="G96" s="310">
        <v>984921.33000000007</v>
      </c>
      <c r="H96" s="310">
        <f t="shared" si="5"/>
        <v>0</v>
      </c>
      <c r="I96" s="310">
        <v>984921.33</v>
      </c>
      <c r="J96" s="310">
        <f t="shared" si="7"/>
        <v>0</v>
      </c>
      <c r="K96" s="310">
        <v>0</v>
      </c>
      <c r="L96" s="739">
        <f t="shared" si="6"/>
        <v>984921.33</v>
      </c>
      <c r="M96" s="178"/>
      <c r="N96" s="178"/>
      <c r="O96" s="178"/>
      <c r="P96" s="178"/>
      <c r="Q96" s="178"/>
      <c r="R96" s="178"/>
    </row>
    <row r="97" spans="1:18" ht="12.75" x14ac:dyDescent="0.2">
      <c r="A97" s="713">
        <v>1589</v>
      </c>
      <c r="B97" s="233" t="s">
        <v>3566</v>
      </c>
      <c r="C97" s="310">
        <v>0</v>
      </c>
      <c r="D97" s="310">
        <v>0</v>
      </c>
      <c r="E97" s="310">
        <f t="shared" si="4"/>
        <v>0</v>
      </c>
      <c r="F97" s="711"/>
      <c r="G97" s="310">
        <v>5150</v>
      </c>
      <c r="H97" s="310">
        <f t="shared" si="5"/>
        <v>0</v>
      </c>
      <c r="I97" s="310">
        <v>5150</v>
      </c>
      <c r="J97" s="310">
        <f t="shared" si="7"/>
        <v>0</v>
      </c>
      <c r="K97" s="310">
        <v>0</v>
      </c>
      <c r="L97" s="739">
        <f t="shared" si="6"/>
        <v>5150</v>
      </c>
      <c r="M97" s="178"/>
      <c r="N97" s="178"/>
      <c r="O97" s="178"/>
      <c r="P97" s="178"/>
      <c r="Q97" s="178"/>
      <c r="R97" s="178"/>
    </row>
    <row r="98" spans="1:18" ht="12.75" x14ac:dyDescent="0.2">
      <c r="A98" s="713">
        <v>1596</v>
      </c>
      <c r="B98" s="233" t="s">
        <v>1686</v>
      </c>
      <c r="C98" s="310">
        <v>0</v>
      </c>
      <c r="D98" s="310">
        <v>0</v>
      </c>
      <c r="E98" s="310">
        <f t="shared" si="4"/>
        <v>0</v>
      </c>
      <c r="F98" s="711"/>
      <c r="G98" s="310">
        <v>20520</v>
      </c>
      <c r="H98" s="310">
        <f t="shared" si="5"/>
        <v>0</v>
      </c>
      <c r="I98" s="310">
        <v>20520</v>
      </c>
      <c r="J98" s="310">
        <f t="shared" si="7"/>
        <v>0</v>
      </c>
      <c r="K98" s="310">
        <v>0</v>
      </c>
      <c r="L98" s="739">
        <f t="shared" si="6"/>
        <v>20520</v>
      </c>
      <c r="M98" s="178"/>
      <c r="N98" s="178"/>
      <c r="O98" s="178"/>
      <c r="P98" s="178"/>
      <c r="Q98" s="178"/>
      <c r="R98" s="178"/>
    </row>
    <row r="99" spans="1:18" ht="12.75" x14ac:dyDescent="0.2">
      <c r="A99" s="713">
        <v>1598</v>
      </c>
      <c r="B99" s="233" t="s">
        <v>1688</v>
      </c>
      <c r="C99" s="310">
        <v>9942534.0899999999</v>
      </c>
      <c r="D99" s="310">
        <v>1698482.75</v>
      </c>
      <c r="E99" s="310">
        <f t="shared" si="4"/>
        <v>8244051.3399999999</v>
      </c>
      <c r="F99" s="711"/>
      <c r="G99" s="310">
        <v>9942534.0899999999</v>
      </c>
      <c r="H99" s="310">
        <f t="shared" si="5"/>
        <v>0</v>
      </c>
      <c r="I99" s="310">
        <v>9942534.0899999999</v>
      </c>
      <c r="J99" s="310">
        <f t="shared" si="7"/>
        <v>1698482.75</v>
      </c>
      <c r="K99" s="310">
        <v>0</v>
      </c>
      <c r="L99" s="739">
        <f t="shared" si="6"/>
        <v>8244051.3399999999</v>
      </c>
      <c r="M99" s="178"/>
      <c r="N99" s="178"/>
      <c r="O99" s="178"/>
      <c r="P99" s="178"/>
      <c r="Q99" s="178"/>
      <c r="R99" s="178"/>
    </row>
    <row r="100" spans="1:18" ht="12.75" x14ac:dyDescent="0.2">
      <c r="A100" s="713">
        <v>8001</v>
      </c>
      <c r="B100" s="233" t="s">
        <v>3567</v>
      </c>
      <c r="C100" s="310">
        <v>24136800</v>
      </c>
      <c r="D100" s="310">
        <v>529203.94999999995</v>
      </c>
      <c r="E100" s="310">
        <f>C100-D100</f>
        <v>23607596.050000001</v>
      </c>
      <c r="F100" s="711"/>
      <c r="G100" s="310">
        <v>0</v>
      </c>
      <c r="H100" s="310">
        <f>I100-G100</f>
        <v>24136800</v>
      </c>
      <c r="I100" s="310">
        <v>24136800</v>
      </c>
      <c r="J100" s="310">
        <f>D100</f>
        <v>529203.94999999995</v>
      </c>
      <c r="K100" s="310">
        <v>0</v>
      </c>
      <c r="L100" s="739">
        <f t="shared" si="6"/>
        <v>23607596.050000001</v>
      </c>
      <c r="M100" s="178"/>
      <c r="N100" s="178"/>
      <c r="O100" s="178"/>
      <c r="P100" s="178"/>
      <c r="Q100" s="178"/>
      <c r="R100" s="178"/>
    </row>
    <row r="101" spans="1:18" ht="12.75" x14ac:dyDescent="0.2">
      <c r="A101" s="713">
        <v>8002</v>
      </c>
      <c r="B101" s="233" t="s">
        <v>3568</v>
      </c>
      <c r="C101" s="310">
        <v>12033500</v>
      </c>
      <c r="D101" s="310">
        <v>0</v>
      </c>
      <c r="E101" s="310">
        <f>C101-D101</f>
        <v>12033500</v>
      </c>
      <c r="F101" s="711"/>
      <c r="G101" s="310">
        <v>0</v>
      </c>
      <c r="H101" s="310">
        <f>I101-G101</f>
        <v>0</v>
      </c>
      <c r="I101" s="310">
        <v>0</v>
      </c>
      <c r="J101" s="310">
        <f>D101</f>
        <v>0</v>
      </c>
      <c r="K101" s="310">
        <v>1180000</v>
      </c>
      <c r="L101" s="739">
        <f t="shared" si="6"/>
        <v>-1180000</v>
      </c>
      <c r="M101" s="178"/>
      <c r="N101" s="178"/>
      <c r="O101" s="178"/>
      <c r="P101" s="178"/>
      <c r="Q101" s="178"/>
      <c r="R101" s="178"/>
    </row>
    <row r="102" spans="1:18" ht="12.75" x14ac:dyDescent="0.2">
      <c r="A102" s="713">
        <v>8003</v>
      </c>
      <c r="B102" s="233" t="s">
        <v>3569</v>
      </c>
      <c r="C102" s="310">
        <v>0</v>
      </c>
      <c r="D102" s="310">
        <v>0</v>
      </c>
      <c r="E102" s="310">
        <f>C102-D102</f>
        <v>0</v>
      </c>
      <c r="F102" s="711"/>
      <c r="G102" s="310">
        <v>0</v>
      </c>
      <c r="H102" s="310">
        <f>I102-G102</f>
        <v>13000000</v>
      </c>
      <c r="I102" s="310">
        <v>13000000</v>
      </c>
      <c r="J102" s="310">
        <f>D102</f>
        <v>0</v>
      </c>
      <c r="K102" s="310">
        <v>0</v>
      </c>
      <c r="L102" s="739">
        <f t="shared" si="6"/>
        <v>13000000</v>
      </c>
      <c r="M102" s="178"/>
      <c r="N102" s="178"/>
      <c r="O102" s="178"/>
      <c r="P102" s="178"/>
      <c r="Q102" s="178"/>
      <c r="R102" s="178"/>
    </row>
    <row r="103" spans="1:18" ht="12.75" x14ac:dyDescent="0.2">
      <c r="A103" s="713">
        <v>8004</v>
      </c>
      <c r="B103" s="233" t="s">
        <v>3570</v>
      </c>
      <c r="C103" s="310">
        <v>29924500</v>
      </c>
      <c r="D103" s="310">
        <v>0</v>
      </c>
      <c r="E103" s="310">
        <f>C103-D103</f>
        <v>29924500</v>
      </c>
      <c r="F103" s="711"/>
      <c r="G103" s="310">
        <v>0</v>
      </c>
      <c r="H103" s="310">
        <f>I103-G103</f>
        <v>18000000</v>
      </c>
      <c r="I103" s="310">
        <v>18000000</v>
      </c>
      <c r="J103" s="310">
        <f>D103</f>
        <v>0</v>
      </c>
      <c r="K103" s="310">
        <v>0</v>
      </c>
      <c r="L103" s="739">
        <f t="shared" si="6"/>
        <v>18000000</v>
      </c>
      <c r="M103" s="178"/>
      <c r="N103" s="178"/>
      <c r="O103" s="178"/>
      <c r="P103" s="178"/>
      <c r="Q103" s="178"/>
      <c r="R103" s="178"/>
    </row>
    <row r="104" spans="1:18" ht="12.75" x14ac:dyDescent="0.2">
      <c r="A104" s="713">
        <v>8005</v>
      </c>
      <c r="B104" s="233" t="s">
        <v>3571</v>
      </c>
      <c r="C104" s="310">
        <v>10105000</v>
      </c>
      <c r="D104" s="310">
        <v>0</v>
      </c>
      <c r="E104" s="310">
        <f>C104-D104</f>
        <v>10105000</v>
      </c>
      <c r="F104" s="711"/>
      <c r="G104" s="310">
        <v>0</v>
      </c>
      <c r="H104" s="310">
        <f>I104-G104</f>
        <v>0</v>
      </c>
      <c r="I104" s="310">
        <v>0</v>
      </c>
      <c r="J104" s="310">
        <f>D104</f>
        <v>0</v>
      </c>
      <c r="K104" s="310">
        <v>0</v>
      </c>
      <c r="L104" s="739">
        <f t="shared" si="6"/>
        <v>0</v>
      </c>
      <c r="M104" s="178"/>
      <c r="N104" s="178"/>
      <c r="O104" s="178"/>
      <c r="P104" s="178"/>
      <c r="Q104" s="178"/>
      <c r="R104" s="178"/>
    </row>
    <row r="105" spans="1:18" ht="12.75" x14ac:dyDescent="0.2">
      <c r="A105" s="713">
        <v>1511</v>
      </c>
      <c r="B105" s="233" t="s">
        <v>1815</v>
      </c>
      <c r="C105" s="310">
        <v>386960956.37</v>
      </c>
      <c r="D105" s="310">
        <v>117535857.70999999</v>
      </c>
      <c r="E105" s="310">
        <f t="shared" si="4"/>
        <v>269425098.66000003</v>
      </c>
      <c r="F105" s="711"/>
      <c r="G105" s="310">
        <v>148905947.95999995</v>
      </c>
      <c r="H105" s="310">
        <f t="shared" si="5"/>
        <v>149907672.09000006</v>
      </c>
      <c r="I105" s="310">
        <v>298813620.05000001</v>
      </c>
      <c r="J105" s="310">
        <f t="shared" si="7"/>
        <v>117535857.70999999</v>
      </c>
      <c r="K105" s="310">
        <v>3710244.79</v>
      </c>
      <c r="L105" s="739">
        <f t="shared" si="6"/>
        <v>177567517.55000004</v>
      </c>
      <c r="M105" s="178"/>
      <c r="N105" s="178"/>
      <c r="O105" s="178"/>
      <c r="P105" s="178"/>
      <c r="Q105" s="178"/>
      <c r="R105" s="178"/>
    </row>
    <row r="106" spans="1:18" ht="12.75" x14ac:dyDescent="0.2">
      <c r="A106" s="713">
        <v>1603</v>
      </c>
      <c r="B106" s="233" t="s">
        <v>12</v>
      </c>
      <c r="C106" s="310">
        <v>8982427.4499999993</v>
      </c>
      <c r="D106" s="310">
        <v>4995091.05</v>
      </c>
      <c r="E106" s="310">
        <f t="shared" si="4"/>
        <v>3987336.3999999994</v>
      </c>
      <c r="F106" s="711"/>
      <c r="G106" s="310">
        <v>8982427.4500000011</v>
      </c>
      <c r="H106" s="310">
        <f t="shared" si="5"/>
        <v>0</v>
      </c>
      <c r="I106" s="310">
        <v>8982427.4499999993</v>
      </c>
      <c r="J106" s="310">
        <f t="shared" si="7"/>
        <v>4995091.05</v>
      </c>
      <c r="K106" s="310">
        <v>0</v>
      </c>
      <c r="L106" s="739">
        <f t="shared" si="6"/>
        <v>3987336.3999999994</v>
      </c>
      <c r="M106" s="178"/>
      <c r="N106" s="178"/>
      <c r="O106" s="178"/>
      <c r="P106" s="178"/>
      <c r="Q106" s="178"/>
      <c r="R106" s="178"/>
    </row>
    <row r="107" spans="1:18" ht="12.75" x14ac:dyDescent="0.2">
      <c r="A107" s="713">
        <v>1607</v>
      </c>
      <c r="B107" s="233" t="s">
        <v>2340</v>
      </c>
      <c r="C107" s="310">
        <v>0</v>
      </c>
      <c r="D107" s="310">
        <v>0</v>
      </c>
      <c r="E107" s="310">
        <f t="shared" si="4"/>
        <v>0</v>
      </c>
      <c r="F107" s="711"/>
      <c r="G107" s="310">
        <v>6404257.3799999999</v>
      </c>
      <c r="H107" s="310">
        <f t="shared" si="5"/>
        <v>0</v>
      </c>
      <c r="I107" s="310">
        <v>6404257.3799999999</v>
      </c>
      <c r="J107" s="310">
        <f t="shared" si="7"/>
        <v>0</v>
      </c>
      <c r="K107" s="310">
        <v>0</v>
      </c>
      <c r="L107" s="739">
        <f t="shared" si="6"/>
        <v>6404257.3799999999</v>
      </c>
      <c r="M107" s="178"/>
      <c r="N107" s="178"/>
      <c r="O107" s="178"/>
      <c r="P107" s="178"/>
      <c r="Q107" s="178"/>
      <c r="R107" s="178"/>
    </row>
    <row r="108" spans="1:18" ht="12.75" x14ac:dyDescent="0.2">
      <c r="A108" s="713">
        <v>1610</v>
      </c>
      <c r="B108" s="233" t="s">
        <v>1542</v>
      </c>
      <c r="C108" s="310">
        <v>110000000</v>
      </c>
      <c r="D108" s="310">
        <v>24395801.649999999</v>
      </c>
      <c r="E108" s="310">
        <f t="shared" si="4"/>
        <v>85604198.349999994</v>
      </c>
      <c r="F108" s="711"/>
      <c r="G108" s="310">
        <v>24358373.589999989</v>
      </c>
      <c r="H108" s="310">
        <f t="shared" si="5"/>
        <v>10000000.000000015</v>
      </c>
      <c r="I108" s="310">
        <v>34358373.590000004</v>
      </c>
      <c r="J108" s="310">
        <f t="shared" si="7"/>
        <v>24395801.649999999</v>
      </c>
      <c r="K108" s="310">
        <v>0</v>
      </c>
      <c r="L108" s="739">
        <f t="shared" si="6"/>
        <v>9962571.9400000051</v>
      </c>
      <c r="M108" s="178"/>
      <c r="N108" s="178"/>
      <c r="O108" s="178"/>
      <c r="P108" s="178"/>
      <c r="Q108" s="178"/>
      <c r="R108" s="178"/>
    </row>
    <row r="109" spans="1:18" ht="12.75" x14ac:dyDescent="0.2">
      <c r="A109" s="713">
        <v>1611</v>
      </c>
      <c r="B109" s="233" t="s">
        <v>2786</v>
      </c>
      <c r="C109" s="310">
        <v>0</v>
      </c>
      <c r="D109" s="310">
        <v>0</v>
      </c>
      <c r="E109" s="310">
        <f t="shared" si="4"/>
        <v>0</v>
      </c>
      <c r="F109" s="711"/>
      <c r="G109" s="310">
        <v>120000</v>
      </c>
      <c r="H109" s="310">
        <f t="shared" si="5"/>
        <v>0</v>
      </c>
      <c r="I109" s="310">
        <v>120000</v>
      </c>
      <c r="J109" s="310">
        <f t="shared" si="7"/>
        <v>0</v>
      </c>
      <c r="K109" s="310">
        <v>0</v>
      </c>
      <c r="L109" s="739">
        <f t="shared" si="6"/>
        <v>120000</v>
      </c>
      <c r="M109" s="178"/>
      <c r="N109" s="178"/>
      <c r="O109" s="178"/>
      <c r="P109" s="178"/>
      <c r="Q109" s="178"/>
      <c r="R109" s="178"/>
    </row>
    <row r="110" spans="1:18" ht="12.75" x14ac:dyDescent="0.2">
      <c r="A110" s="713">
        <v>1612</v>
      </c>
      <c r="B110" s="233" t="s">
        <v>1814</v>
      </c>
      <c r="C110" s="310">
        <v>17678160</v>
      </c>
      <c r="D110" s="310">
        <v>8485015.7400000002</v>
      </c>
      <c r="E110" s="310">
        <f t="shared" si="4"/>
        <v>9193144.2599999998</v>
      </c>
      <c r="F110" s="711"/>
      <c r="G110" s="310">
        <v>0</v>
      </c>
      <c r="H110" s="310">
        <f t="shared" si="5"/>
        <v>0</v>
      </c>
      <c r="I110" s="310">
        <v>0</v>
      </c>
      <c r="J110" s="310">
        <f t="shared" si="7"/>
        <v>8485015.7400000002</v>
      </c>
      <c r="K110" s="310">
        <v>0</v>
      </c>
      <c r="L110" s="739">
        <f t="shared" si="6"/>
        <v>-8485015.7400000002</v>
      </c>
      <c r="M110" s="178"/>
      <c r="N110" s="178"/>
      <c r="O110" s="178"/>
      <c r="P110" s="178"/>
      <c r="Q110" s="178"/>
      <c r="R110" s="178"/>
    </row>
    <row r="111" spans="1:18" ht="12.75" x14ac:dyDescent="0.2">
      <c r="A111" s="713">
        <v>1613</v>
      </c>
      <c r="B111" s="233" t="s">
        <v>2787</v>
      </c>
      <c r="C111" s="310">
        <v>0</v>
      </c>
      <c r="D111" s="310">
        <v>0</v>
      </c>
      <c r="E111" s="310">
        <f t="shared" si="4"/>
        <v>0</v>
      </c>
      <c r="F111" s="711"/>
      <c r="G111" s="310">
        <v>328630.60000000009</v>
      </c>
      <c r="H111" s="310">
        <f t="shared" si="5"/>
        <v>0</v>
      </c>
      <c r="I111" s="310">
        <v>328630.59999999998</v>
      </c>
      <c r="J111" s="310">
        <f t="shared" si="7"/>
        <v>0</v>
      </c>
      <c r="K111" s="310">
        <v>0</v>
      </c>
      <c r="L111" s="739">
        <f t="shared" si="6"/>
        <v>328630.59999999998</v>
      </c>
      <c r="M111" s="178"/>
      <c r="N111" s="178"/>
      <c r="O111" s="178"/>
      <c r="P111" s="178"/>
      <c r="Q111" s="178"/>
      <c r="R111" s="178"/>
    </row>
    <row r="112" spans="1:18" ht="12.75" x14ac:dyDescent="0.2">
      <c r="A112" s="713">
        <v>1614</v>
      </c>
      <c r="B112" s="233" t="s">
        <v>3572</v>
      </c>
      <c r="C112" s="310">
        <v>39727750</v>
      </c>
      <c r="D112" s="310">
        <v>22172129.850000001</v>
      </c>
      <c r="E112" s="310">
        <f t="shared" si="4"/>
        <v>17555620.149999999</v>
      </c>
      <c r="F112" s="711"/>
      <c r="G112" s="310">
        <v>6352750</v>
      </c>
      <c r="H112" s="310">
        <f t="shared" si="5"/>
        <v>33375000</v>
      </c>
      <c r="I112" s="310">
        <v>39727750</v>
      </c>
      <c r="J112" s="310">
        <f t="shared" si="7"/>
        <v>22172129.850000001</v>
      </c>
      <c r="K112" s="310">
        <v>0</v>
      </c>
      <c r="L112" s="739">
        <f t="shared" si="6"/>
        <v>17555620.149999999</v>
      </c>
      <c r="M112" s="178"/>
      <c r="N112" s="178"/>
      <c r="O112" s="178"/>
      <c r="P112" s="178"/>
      <c r="Q112" s="178"/>
      <c r="R112" s="178"/>
    </row>
    <row r="113" spans="1:18" ht="12.75" x14ac:dyDescent="0.2">
      <c r="A113" s="713">
        <v>1615</v>
      </c>
      <c r="B113" s="233" t="s">
        <v>3573</v>
      </c>
      <c r="C113" s="310">
        <v>7707635</v>
      </c>
      <c r="D113" s="310">
        <v>0</v>
      </c>
      <c r="E113" s="310">
        <f t="shared" si="4"/>
        <v>7707635</v>
      </c>
      <c r="F113" s="711"/>
      <c r="G113" s="310">
        <v>0</v>
      </c>
      <c r="H113" s="310">
        <f>I113-G113</f>
        <v>0</v>
      </c>
      <c r="I113" s="310">
        <v>0</v>
      </c>
      <c r="J113" s="310">
        <f>D113</f>
        <v>0</v>
      </c>
      <c r="K113" s="310">
        <v>0</v>
      </c>
      <c r="L113" s="739">
        <f t="shared" si="6"/>
        <v>0</v>
      </c>
      <c r="M113" s="178"/>
      <c r="N113" s="178"/>
      <c r="O113" s="178"/>
      <c r="P113" s="178"/>
      <c r="Q113" s="178"/>
      <c r="R113" s="178"/>
    </row>
    <row r="114" spans="1:18" ht="12.75" x14ac:dyDescent="0.2">
      <c r="A114" s="713">
        <v>1616</v>
      </c>
      <c r="B114" s="233" t="s">
        <v>3574</v>
      </c>
      <c r="C114" s="310">
        <v>139516060</v>
      </c>
      <c r="D114" s="310">
        <v>0</v>
      </c>
      <c r="E114" s="310">
        <f>C114-D114</f>
        <v>139516060</v>
      </c>
      <c r="F114" s="711"/>
      <c r="G114" s="310">
        <v>0</v>
      </c>
      <c r="H114" s="310">
        <f>I114-G114</f>
        <v>139017007.80000001</v>
      </c>
      <c r="I114" s="310">
        <v>139017007.80000001</v>
      </c>
      <c r="J114" s="310">
        <f>D114</f>
        <v>0</v>
      </c>
      <c r="K114" s="310">
        <v>0</v>
      </c>
      <c r="L114" s="739">
        <f t="shared" si="6"/>
        <v>139017007.80000001</v>
      </c>
      <c r="M114" s="178"/>
      <c r="N114" s="178"/>
      <c r="O114" s="178"/>
      <c r="P114" s="178"/>
      <c r="Q114" s="178"/>
      <c r="R114" s="178"/>
    </row>
    <row r="115" spans="1:18" ht="12.75" x14ac:dyDescent="0.2">
      <c r="A115" s="713">
        <v>1632</v>
      </c>
      <c r="B115" s="233" t="s">
        <v>2341</v>
      </c>
      <c r="C115" s="310">
        <v>0</v>
      </c>
      <c r="D115" s="310">
        <v>0</v>
      </c>
      <c r="E115" s="310">
        <f t="shared" si="4"/>
        <v>0</v>
      </c>
      <c r="F115" s="711"/>
      <c r="G115" s="310">
        <v>123993.9</v>
      </c>
      <c r="H115" s="310">
        <f t="shared" si="5"/>
        <v>0</v>
      </c>
      <c r="I115" s="310">
        <v>123993.9</v>
      </c>
      <c r="J115" s="310">
        <f t="shared" ref="J115:J164" si="8">D115</f>
        <v>0</v>
      </c>
      <c r="K115" s="310">
        <v>0</v>
      </c>
      <c r="L115" s="739">
        <f t="shared" si="6"/>
        <v>123993.9</v>
      </c>
      <c r="M115" s="178"/>
      <c r="N115" s="178"/>
      <c r="O115" s="178"/>
      <c r="P115" s="178"/>
      <c r="Q115" s="178"/>
      <c r="R115" s="178"/>
    </row>
    <row r="116" spans="1:18" ht="12.75" x14ac:dyDescent="0.2">
      <c r="A116" s="713">
        <v>1635</v>
      </c>
      <c r="B116" s="233" t="s">
        <v>2258</v>
      </c>
      <c r="C116" s="310">
        <v>0</v>
      </c>
      <c r="D116" s="310">
        <v>0</v>
      </c>
      <c r="E116" s="310">
        <f t="shared" si="4"/>
        <v>0</v>
      </c>
      <c r="F116" s="711"/>
      <c r="G116" s="310">
        <v>354615.55</v>
      </c>
      <c r="H116" s="310">
        <f t="shared" si="5"/>
        <v>0</v>
      </c>
      <c r="I116" s="310">
        <v>354615.55</v>
      </c>
      <c r="J116" s="310">
        <f t="shared" si="8"/>
        <v>0</v>
      </c>
      <c r="K116" s="310">
        <v>0</v>
      </c>
      <c r="L116" s="739">
        <f t="shared" si="6"/>
        <v>354615.55</v>
      </c>
      <c r="M116" s="178"/>
      <c r="N116" s="178"/>
      <c r="O116" s="178"/>
      <c r="P116" s="178"/>
      <c r="Q116" s="178"/>
      <c r="R116" s="178"/>
    </row>
    <row r="117" spans="1:18" ht="12.75" x14ac:dyDescent="0.2">
      <c r="A117" s="713">
        <v>1636</v>
      </c>
      <c r="B117" s="233" t="s">
        <v>2259</v>
      </c>
      <c r="C117" s="310">
        <v>40420213.32</v>
      </c>
      <c r="D117" s="310">
        <v>8690979.8499999996</v>
      </c>
      <c r="E117" s="310">
        <f t="shared" si="4"/>
        <v>31729233.469999999</v>
      </c>
      <c r="F117" s="711"/>
      <c r="G117" s="310">
        <v>40420213.320000008</v>
      </c>
      <c r="H117" s="310">
        <f t="shared" si="5"/>
        <v>13207352.929999992</v>
      </c>
      <c r="I117" s="310">
        <v>53627566.25</v>
      </c>
      <c r="J117" s="310">
        <f t="shared" si="8"/>
        <v>8690979.8499999996</v>
      </c>
      <c r="K117" s="310">
        <v>0</v>
      </c>
      <c r="L117" s="739">
        <f t="shared" si="6"/>
        <v>44936586.399999999</v>
      </c>
      <c r="M117" s="178"/>
      <c r="N117" s="178"/>
      <c r="O117" s="178"/>
      <c r="P117" s="178"/>
      <c r="Q117" s="178"/>
      <c r="R117" s="178"/>
    </row>
    <row r="118" spans="1:18" ht="12.75" x14ac:dyDescent="0.2">
      <c r="A118" s="713">
        <v>1638</v>
      </c>
      <c r="B118" s="233" t="s">
        <v>1818</v>
      </c>
      <c r="C118" s="310">
        <v>0</v>
      </c>
      <c r="D118" s="310">
        <v>0</v>
      </c>
      <c r="E118" s="310">
        <f t="shared" si="4"/>
        <v>0</v>
      </c>
      <c r="F118" s="711"/>
      <c r="G118" s="310">
        <v>791249.84</v>
      </c>
      <c r="H118" s="310">
        <f t="shared" si="5"/>
        <v>0</v>
      </c>
      <c r="I118" s="310">
        <v>791249.84</v>
      </c>
      <c r="J118" s="310">
        <f t="shared" si="8"/>
        <v>0</v>
      </c>
      <c r="K118" s="310">
        <v>0</v>
      </c>
      <c r="L118" s="739">
        <f t="shared" si="6"/>
        <v>791249.84</v>
      </c>
      <c r="M118" s="178"/>
      <c r="N118" s="178"/>
      <c r="O118" s="178"/>
      <c r="P118" s="178"/>
      <c r="Q118" s="178"/>
      <c r="R118" s="178"/>
    </row>
    <row r="119" spans="1:18" ht="12.75" x14ac:dyDescent="0.2">
      <c r="A119" s="713">
        <v>1640</v>
      </c>
      <c r="B119" s="233" t="s">
        <v>2342</v>
      </c>
      <c r="C119" s="310">
        <v>0</v>
      </c>
      <c r="D119" s="310">
        <v>0</v>
      </c>
      <c r="E119" s="310">
        <f t="shared" si="4"/>
        <v>0</v>
      </c>
      <c r="F119" s="711"/>
      <c r="G119" s="310">
        <v>735792.60000000009</v>
      </c>
      <c r="H119" s="310">
        <f t="shared" si="5"/>
        <v>0</v>
      </c>
      <c r="I119" s="310">
        <v>735792.6</v>
      </c>
      <c r="J119" s="310">
        <f t="shared" si="8"/>
        <v>0</v>
      </c>
      <c r="K119" s="310">
        <v>0</v>
      </c>
      <c r="L119" s="739">
        <f t="shared" si="6"/>
        <v>735792.6</v>
      </c>
      <c r="M119" s="178"/>
      <c r="N119" s="178"/>
      <c r="O119" s="178"/>
      <c r="P119" s="178"/>
      <c r="Q119" s="178"/>
      <c r="R119" s="178"/>
    </row>
    <row r="120" spans="1:18" ht="12.75" x14ac:dyDescent="0.2">
      <c r="A120" s="713">
        <v>1641</v>
      </c>
      <c r="B120" s="233" t="s">
        <v>2343</v>
      </c>
      <c r="C120" s="310">
        <v>0</v>
      </c>
      <c r="D120" s="310">
        <v>0</v>
      </c>
      <c r="E120" s="310">
        <f t="shared" si="4"/>
        <v>0</v>
      </c>
      <c r="F120" s="711"/>
      <c r="G120" s="310">
        <v>205648.20000000019</v>
      </c>
      <c r="H120" s="310">
        <f t="shared" si="5"/>
        <v>0</v>
      </c>
      <c r="I120" s="310">
        <v>205648.2</v>
      </c>
      <c r="J120" s="310">
        <f t="shared" si="8"/>
        <v>0</v>
      </c>
      <c r="K120" s="310">
        <v>0</v>
      </c>
      <c r="L120" s="739">
        <f t="shared" si="6"/>
        <v>205648.2</v>
      </c>
      <c r="M120" s="178"/>
      <c r="N120" s="178"/>
      <c r="O120" s="178"/>
      <c r="P120" s="178"/>
      <c r="Q120" s="178"/>
      <c r="R120" s="178"/>
    </row>
    <row r="121" spans="1:18" ht="12.75" x14ac:dyDescent="0.2">
      <c r="A121" s="713">
        <v>1676</v>
      </c>
      <c r="B121" s="233" t="s">
        <v>1721</v>
      </c>
      <c r="C121" s="310">
        <v>0</v>
      </c>
      <c r="D121" s="310">
        <v>0</v>
      </c>
      <c r="E121" s="310">
        <f t="shared" si="4"/>
        <v>0</v>
      </c>
      <c r="F121" s="711"/>
      <c r="G121" s="310">
        <v>21649254.969999999</v>
      </c>
      <c r="H121" s="310">
        <f t="shared" si="5"/>
        <v>-499669.45999999717</v>
      </c>
      <c r="I121" s="310">
        <v>21149585.510000002</v>
      </c>
      <c r="J121" s="310">
        <f t="shared" si="8"/>
        <v>0</v>
      </c>
      <c r="K121" s="310">
        <v>0</v>
      </c>
      <c r="L121" s="739">
        <f t="shared" si="6"/>
        <v>21149585.510000002</v>
      </c>
      <c r="M121" s="178"/>
      <c r="N121" s="178"/>
      <c r="O121" s="178"/>
      <c r="P121" s="178"/>
      <c r="Q121" s="178"/>
      <c r="R121" s="178"/>
    </row>
    <row r="122" spans="1:18" ht="12.75" x14ac:dyDescent="0.2">
      <c r="A122" s="713">
        <v>1678</v>
      </c>
      <c r="B122" s="233" t="s">
        <v>1481</v>
      </c>
      <c r="C122" s="310">
        <v>0</v>
      </c>
      <c r="D122" s="310">
        <v>0</v>
      </c>
      <c r="E122" s="310">
        <f t="shared" si="4"/>
        <v>0</v>
      </c>
      <c r="F122" s="711"/>
      <c r="G122" s="310">
        <v>5518105.9600000009</v>
      </c>
      <c r="H122" s="310">
        <f t="shared" si="5"/>
        <v>0</v>
      </c>
      <c r="I122" s="310">
        <v>5518105.96</v>
      </c>
      <c r="J122" s="310">
        <f t="shared" si="8"/>
        <v>0</v>
      </c>
      <c r="K122" s="310">
        <v>0</v>
      </c>
      <c r="L122" s="739">
        <f t="shared" si="6"/>
        <v>5518105.96</v>
      </c>
      <c r="M122" s="178"/>
      <c r="N122" s="178"/>
      <c r="O122" s="178"/>
      <c r="P122" s="178"/>
      <c r="Q122" s="178"/>
      <c r="R122" s="178"/>
    </row>
    <row r="123" spans="1:18" ht="12.75" x14ac:dyDescent="0.2">
      <c r="A123" s="713">
        <v>1679</v>
      </c>
      <c r="B123" s="233" t="s">
        <v>177</v>
      </c>
      <c r="C123" s="310">
        <v>0</v>
      </c>
      <c r="D123" s="310">
        <v>0</v>
      </c>
      <c r="E123" s="310">
        <f t="shared" si="4"/>
        <v>0</v>
      </c>
      <c r="F123" s="711"/>
      <c r="G123" s="310">
        <v>1100329.1200000001</v>
      </c>
      <c r="H123" s="310">
        <f t="shared" si="5"/>
        <v>152198.54999999981</v>
      </c>
      <c r="I123" s="310">
        <v>1252527.67</v>
      </c>
      <c r="J123" s="310">
        <f t="shared" si="8"/>
        <v>0</v>
      </c>
      <c r="K123" s="310">
        <v>0</v>
      </c>
      <c r="L123" s="739">
        <f t="shared" si="6"/>
        <v>1252527.67</v>
      </c>
      <c r="M123" s="178"/>
      <c r="N123" s="178"/>
      <c r="O123" s="178"/>
      <c r="P123" s="178"/>
      <c r="Q123" s="178"/>
      <c r="R123" s="178"/>
    </row>
    <row r="124" spans="1:18" ht="12.75" x14ac:dyDescent="0.2">
      <c r="A124" s="713">
        <v>1680</v>
      </c>
      <c r="B124" s="233" t="s">
        <v>2788</v>
      </c>
      <c r="C124" s="310">
        <v>500000</v>
      </c>
      <c r="D124" s="310">
        <v>200000</v>
      </c>
      <c r="E124" s="310">
        <f t="shared" si="4"/>
        <v>300000</v>
      </c>
      <c r="F124" s="711"/>
      <c r="G124" s="310">
        <v>100000</v>
      </c>
      <c r="H124" s="310">
        <f t="shared" si="5"/>
        <v>499669.45999999996</v>
      </c>
      <c r="I124" s="310">
        <v>599669.46</v>
      </c>
      <c r="J124" s="310">
        <f t="shared" si="8"/>
        <v>200000</v>
      </c>
      <c r="K124" s="310">
        <v>0</v>
      </c>
      <c r="L124" s="739">
        <f t="shared" si="6"/>
        <v>399669.45999999996</v>
      </c>
      <c r="M124" s="178"/>
      <c r="N124" s="178"/>
      <c r="O124" s="178"/>
      <c r="P124" s="178"/>
      <c r="Q124" s="178"/>
      <c r="R124" s="178"/>
    </row>
    <row r="125" spans="1:18" ht="12.75" x14ac:dyDescent="0.2">
      <c r="A125" s="713">
        <v>1681</v>
      </c>
      <c r="B125" s="233" t="s">
        <v>1819</v>
      </c>
      <c r="C125" s="310">
        <v>0</v>
      </c>
      <c r="D125" s="310">
        <v>0</v>
      </c>
      <c r="E125" s="310">
        <f t="shared" si="4"/>
        <v>0</v>
      </c>
      <c r="F125" s="711"/>
      <c r="G125" s="310">
        <v>1606140</v>
      </c>
      <c r="H125" s="310">
        <f t="shared" si="5"/>
        <v>-1606140</v>
      </c>
      <c r="I125" s="310">
        <v>0</v>
      </c>
      <c r="J125" s="310">
        <f t="shared" si="8"/>
        <v>0</v>
      </c>
      <c r="K125" s="310">
        <v>0</v>
      </c>
      <c r="L125" s="739">
        <f t="shared" si="6"/>
        <v>0</v>
      </c>
      <c r="M125" s="178"/>
      <c r="N125" s="178"/>
      <c r="O125" s="178"/>
      <c r="P125" s="178"/>
      <c r="Q125" s="178"/>
      <c r="R125" s="178"/>
    </row>
    <row r="126" spans="1:18" ht="12.75" x14ac:dyDescent="0.2">
      <c r="A126" s="713">
        <v>1682</v>
      </c>
      <c r="B126" s="233" t="s">
        <v>2344</v>
      </c>
      <c r="C126" s="310">
        <v>0</v>
      </c>
      <c r="D126" s="310">
        <v>0</v>
      </c>
      <c r="E126" s="310">
        <f t="shared" si="4"/>
        <v>0</v>
      </c>
      <c r="F126" s="711"/>
      <c r="G126" s="310">
        <v>117340</v>
      </c>
      <c r="H126" s="310">
        <f t="shared" si="5"/>
        <v>0</v>
      </c>
      <c r="I126" s="310">
        <v>117340</v>
      </c>
      <c r="J126" s="310">
        <f t="shared" si="8"/>
        <v>0</v>
      </c>
      <c r="K126" s="310">
        <v>0</v>
      </c>
      <c r="L126" s="739">
        <f t="shared" si="6"/>
        <v>117340</v>
      </c>
      <c r="M126" s="178"/>
      <c r="N126" s="178"/>
      <c r="O126" s="178"/>
      <c r="P126" s="178"/>
      <c r="Q126" s="178"/>
      <c r="R126" s="178"/>
    </row>
    <row r="127" spans="1:18" ht="12.75" x14ac:dyDescent="0.2">
      <c r="A127" s="713">
        <v>1683</v>
      </c>
      <c r="B127" s="233" t="s">
        <v>178</v>
      </c>
      <c r="C127" s="310">
        <v>62074994</v>
      </c>
      <c r="D127" s="310">
        <v>16601443.35</v>
      </c>
      <c r="E127" s="310">
        <f t="shared" si="4"/>
        <v>45473550.649999999</v>
      </c>
      <c r="F127" s="711"/>
      <c r="G127" s="310">
        <v>454159652.87</v>
      </c>
      <c r="H127" s="310">
        <f t="shared" si="5"/>
        <v>37186038.620000005</v>
      </c>
      <c r="I127" s="310">
        <v>491345691.49000001</v>
      </c>
      <c r="J127" s="310">
        <f t="shared" si="8"/>
        <v>16601443.35</v>
      </c>
      <c r="K127" s="310">
        <v>0</v>
      </c>
      <c r="L127" s="739">
        <f t="shared" si="6"/>
        <v>474744248.13999999</v>
      </c>
      <c r="M127" s="178"/>
      <c r="N127" s="178"/>
      <c r="O127" s="178"/>
      <c r="P127" s="178"/>
      <c r="Q127" s="178"/>
      <c r="R127" s="178"/>
    </row>
    <row r="128" spans="1:18" ht="12.75" x14ac:dyDescent="0.2">
      <c r="A128" s="713">
        <v>1684</v>
      </c>
      <c r="B128" s="233" t="s">
        <v>179</v>
      </c>
      <c r="C128" s="310">
        <v>2800000</v>
      </c>
      <c r="D128" s="310">
        <v>1000000</v>
      </c>
      <c r="E128" s="310">
        <f t="shared" si="4"/>
        <v>1800000</v>
      </c>
      <c r="F128" s="711"/>
      <c r="G128" s="310">
        <v>818240</v>
      </c>
      <c r="H128" s="310">
        <f t="shared" si="5"/>
        <v>554800</v>
      </c>
      <c r="I128" s="310">
        <v>1373040</v>
      </c>
      <c r="J128" s="310">
        <f t="shared" si="8"/>
        <v>1000000</v>
      </c>
      <c r="K128" s="310">
        <v>0</v>
      </c>
      <c r="L128" s="739">
        <f t="shared" si="6"/>
        <v>373040</v>
      </c>
      <c r="M128" s="178"/>
      <c r="N128" s="178"/>
      <c r="O128" s="178"/>
      <c r="P128" s="178"/>
      <c r="Q128" s="178"/>
      <c r="R128" s="178"/>
    </row>
    <row r="129" spans="1:18" ht="12.75" x14ac:dyDescent="0.2">
      <c r="A129" s="713">
        <v>1685</v>
      </c>
      <c r="B129" s="233" t="s">
        <v>1689</v>
      </c>
      <c r="C129" s="310">
        <v>0</v>
      </c>
      <c r="D129" s="310">
        <v>0</v>
      </c>
      <c r="E129" s="310">
        <f t="shared" si="4"/>
        <v>0</v>
      </c>
      <c r="F129" s="711"/>
      <c r="G129" s="310">
        <v>1999973.9399999995</v>
      </c>
      <c r="H129" s="310">
        <f t="shared" si="5"/>
        <v>0</v>
      </c>
      <c r="I129" s="310">
        <v>1999973.94</v>
      </c>
      <c r="J129" s="310">
        <f t="shared" si="8"/>
        <v>0</v>
      </c>
      <c r="K129" s="310">
        <v>0</v>
      </c>
      <c r="L129" s="739">
        <f t="shared" si="6"/>
        <v>1999973.94</v>
      </c>
      <c r="M129" s="178"/>
      <c r="N129" s="178"/>
      <c r="O129" s="178"/>
      <c r="P129" s="178"/>
      <c r="Q129" s="178"/>
      <c r="R129" s="178"/>
    </row>
    <row r="130" spans="1:18" ht="12.75" x14ac:dyDescent="0.2">
      <c r="A130" s="713">
        <v>1686</v>
      </c>
      <c r="B130" s="233" t="s">
        <v>1037</v>
      </c>
      <c r="C130" s="310">
        <v>0</v>
      </c>
      <c r="D130" s="310">
        <v>0</v>
      </c>
      <c r="E130" s="310">
        <f t="shared" si="4"/>
        <v>0</v>
      </c>
      <c r="F130" s="711"/>
      <c r="G130" s="310">
        <v>86121435.170000002</v>
      </c>
      <c r="H130" s="310">
        <f t="shared" si="5"/>
        <v>0</v>
      </c>
      <c r="I130" s="310">
        <v>86121435.170000002</v>
      </c>
      <c r="J130" s="310">
        <f t="shared" si="8"/>
        <v>0</v>
      </c>
      <c r="K130" s="310">
        <v>0</v>
      </c>
      <c r="L130" s="739">
        <f t="shared" si="6"/>
        <v>86121435.170000002</v>
      </c>
      <c r="M130" s="178"/>
      <c r="N130" s="178"/>
      <c r="O130" s="178"/>
      <c r="P130" s="178"/>
      <c r="Q130" s="178"/>
      <c r="R130" s="178"/>
    </row>
    <row r="131" spans="1:18" ht="12.75" x14ac:dyDescent="0.2">
      <c r="A131" s="713">
        <v>1687</v>
      </c>
      <c r="B131" s="233" t="s">
        <v>481</v>
      </c>
      <c r="C131" s="310">
        <v>1500000</v>
      </c>
      <c r="D131" s="310">
        <v>300000</v>
      </c>
      <c r="E131" s="310">
        <f t="shared" si="4"/>
        <v>1200000</v>
      </c>
      <c r="F131" s="711"/>
      <c r="G131" s="310">
        <v>11928034.720000001</v>
      </c>
      <c r="H131" s="310">
        <f t="shared" si="5"/>
        <v>2290930.9699999988</v>
      </c>
      <c r="I131" s="310">
        <v>14218965.689999999</v>
      </c>
      <c r="J131" s="310">
        <f t="shared" si="8"/>
        <v>300000</v>
      </c>
      <c r="K131" s="310">
        <v>0</v>
      </c>
      <c r="L131" s="739">
        <f t="shared" si="6"/>
        <v>13918965.689999999</v>
      </c>
      <c r="M131" s="178"/>
      <c r="N131" s="178"/>
      <c r="O131" s="178"/>
      <c r="P131" s="178"/>
      <c r="Q131" s="178"/>
      <c r="R131" s="178"/>
    </row>
    <row r="132" spans="1:18" ht="12.75" x14ac:dyDescent="0.2">
      <c r="A132" s="713">
        <v>1688</v>
      </c>
      <c r="B132" s="233" t="s">
        <v>1039</v>
      </c>
      <c r="C132" s="310">
        <v>1600000</v>
      </c>
      <c r="D132" s="310">
        <v>880000</v>
      </c>
      <c r="E132" s="310">
        <f t="shared" ref="E132:E164" si="9">C132-D132</f>
        <v>720000</v>
      </c>
      <c r="F132" s="711"/>
      <c r="G132" s="310">
        <v>0</v>
      </c>
      <c r="H132" s="310">
        <f t="shared" si="5"/>
        <v>1724664.82</v>
      </c>
      <c r="I132" s="310">
        <v>1724664.82</v>
      </c>
      <c r="J132" s="310">
        <f t="shared" si="8"/>
        <v>880000</v>
      </c>
      <c r="K132" s="310">
        <v>0</v>
      </c>
      <c r="L132" s="739">
        <f t="shared" si="6"/>
        <v>844664.82000000007</v>
      </c>
      <c r="M132" s="178"/>
      <c r="N132" s="178"/>
      <c r="O132" s="178"/>
      <c r="P132" s="178"/>
      <c r="Q132" s="178"/>
      <c r="R132" s="178"/>
    </row>
    <row r="133" spans="1:18" ht="12.75" x14ac:dyDescent="0.2">
      <c r="A133" s="713">
        <v>1689</v>
      </c>
      <c r="B133" s="233" t="s">
        <v>1482</v>
      </c>
      <c r="C133" s="310">
        <v>0</v>
      </c>
      <c r="D133" s="310">
        <v>0</v>
      </c>
      <c r="E133" s="310">
        <f t="shared" si="9"/>
        <v>0</v>
      </c>
      <c r="F133" s="711"/>
      <c r="G133" s="310">
        <v>3176718.1599999997</v>
      </c>
      <c r="H133" s="310">
        <f t="shared" ref="H133:H164" si="10">I133-G133</f>
        <v>92400.290000000503</v>
      </c>
      <c r="I133" s="310">
        <v>3269118.45</v>
      </c>
      <c r="J133" s="310">
        <f t="shared" si="8"/>
        <v>0</v>
      </c>
      <c r="K133" s="310">
        <v>0</v>
      </c>
      <c r="L133" s="739">
        <f t="shared" ref="L133:L163" si="11">I133-J133-K133</f>
        <v>3269118.45</v>
      </c>
      <c r="M133" s="178"/>
      <c r="N133" s="178"/>
      <c r="O133" s="178"/>
      <c r="P133" s="178"/>
      <c r="Q133" s="178"/>
      <c r="R133" s="178"/>
    </row>
    <row r="134" spans="1:18" ht="12.75" x14ac:dyDescent="0.2">
      <c r="A134" s="713">
        <v>1690</v>
      </c>
      <c r="B134" s="233" t="s">
        <v>1483</v>
      </c>
      <c r="C134" s="310">
        <v>0</v>
      </c>
      <c r="D134" s="310">
        <v>0</v>
      </c>
      <c r="E134" s="310">
        <f t="shared" si="9"/>
        <v>0</v>
      </c>
      <c r="F134" s="711"/>
      <c r="G134" s="310">
        <v>1139865.5</v>
      </c>
      <c r="H134" s="310">
        <f t="shared" si="10"/>
        <v>0</v>
      </c>
      <c r="I134" s="310">
        <v>1139865.5</v>
      </c>
      <c r="J134" s="310">
        <f t="shared" si="8"/>
        <v>0</v>
      </c>
      <c r="K134" s="310">
        <v>0</v>
      </c>
      <c r="L134" s="739">
        <f t="shared" si="11"/>
        <v>1139865.5</v>
      </c>
      <c r="M134" s="178"/>
      <c r="N134" s="178"/>
      <c r="O134" s="178"/>
      <c r="P134" s="178"/>
      <c r="Q134" s="178"/>
      <c r="R134" s="178"/>
    </row>
    <row r="135" spans="1:18" ht="12.75" x14ac:dyDescent="0.2">
      <c r="A135" s="713">
        <v>1692</v>
      </c>
      <c r="B135" s="233" t="s">
        <v>2345</v>
      </c>
      <c r="C135" s="310">
        <v>1000000</v>
      </c>
      <c r="D135" s="310">
        <v>500000</v>
      </c>
      <c r="E135" s="310">
        <f t="shared" si="9"/>
        <v>500000</v>
      </c>
      <c r="F135" s="711"/>
      <c r="G135" s="310">
        <v>100000</v>
      </c>
      <c r="H135" s="310">
        <f t="shared" si="10"/>
        <v>500000</v>
      </c>
      <c r="I135" s="310">
        <v>600000</v>
      </c>
      <c r="J135" s="310">
        <f t="shared" si="8"/>
        <v>500000</v>
      </c>
      <c r="K135" s="310">
        <v>0</v>
      </c>
      <c r="L135" s="739">
        <f t="shared" si="11"/>
        <v>100000</v>
      </c>
      <c r="M135" s="178"/>
      <c r="N135" s="178"/>
      <c r="O135" s="178"/>
      <c r="P135" s="178"/>
      <c r="Q135" s="178"/>
      <c r="R135" s="178"/>
    </row>
    <row r="136" spans="1:18" ht="12.75" x14ac:dyDescent="0.2">
      <c r="A136" s="713">
        <v>1693</v>
      </c>
      <c r="B136" s="233" t="s">
        <v>1822</v>
      </c>
      <c r="C136" s="310">
        <v>8000000</v>
      </c>
      <c r="D136" s="310">
        <v>3050000</v>
      </c>
      <c r="E136" s="310">
        <f t="shared" si="9"/>
        <v>4950000</v>
      </c>
      <c r="F136" s="711"/>
      <c r="G136" s="310">
        <v>550000</v>
      </c>
      <c r="H136" s="310">
        <f t="shared" si="10"/>
        <v>6100000</v>
      </c>
      <c r="I136" s="310">
        <v>6650000</v>
      </c>
      <c r="J136" s="310">
        <f t="shared" si="8"/>
        <v>3050000</v>
      </c>
      <c r="K136" s="310">
        <v>0</v>
      </c>
      <c r="L136" s="739">
        <f t="shared" si="11"/>
        <v>3600000</v>
      </c>
      <c r="M136" s="178"/>
      <c r="N136" s="178"/>
      <c r="O136" s="178"/>
      <c r="P136" s="178"/>
      <c r="Q136" s="178"/>
      <c r="R136" s="178"/>
    </row>
    <row r="137" spans="1:18" ht="12.75" x14ac:dyDescent="0.2">
      <c r="A137" s="713">
        <v>1694</v>
      </c>
      <c r="B137" s="233" t="s">
        <v>1823</v>
      </c>
      <c r="C137" s="310">
        <v>0</v>
      </c>
      <c r="D137" s="310">
        <v>0</v>
      </c>
      <c r="E137" s="310">
        <f t="shared" si="9"/>
        <v>0</v>
      </c>
      <c r="F137" s="711"/>
      <c r="G137" s="310">
        <v>790144.25</v>
      </c>
      <c r="H137" s="310">
        <f t="shared" si="10"/>
        <v>0</v>
      </c>
      <c r="I137" s="310">
        <v>790144.25</v>
      </c>
      <c r="J137" s="310">
        <f t="shared" si="8"/>
        <v>0</v>
      </c>
      <c r="K137" s="310">
        <v>0</v>
      </c>
      <c r="L137" s="739">
        <f t="shared" si="11"/>
        <v>790144.25</v>
      </c>
      <c r="M137" s="178"/>
      <c r="N137" s="178"/>
      <c r="O137" s="178"/>
      <c r="P137" s="178"/>
      <c r="Q137" s="178"/>
      <c r="R137" s="178"/>
    </row>
    <row r="138" spans="1:18" ht="12.75" x14ac:dyDescent="0.2">
      <c r="A138" s="713">
        <v>1696</v>
      </c>
      <c r="B138" s="233" t="s">
        <v>2789</v>
      </c>
      <c r="C138" s="310">
        <v>0</v>
      </c>
      <c r="D138" s="310">
        <v>0</v>
      </c>
      <c r="E138" s="310">
        <f t="shared" si="9"/>
        <v>0</v>
      </c>
      <c r="F138" s="711"/>
      <c r="G138" s="310">
        <v>1776852.0999999996</v>
      </c>
      <c r="H138" s="310">
        <f t="shared" si="10"/>
        <v>0</v>
      </c>
      <c r="I138" s="310">
        <v>1776852.1</v>
      </c>
      <c r="J138" s="310">
        <f t="shared" si="8"/>
        <v>0</v>
      </c>
      <c r="K138" s="310">
        <v>0</v>
      </c>
      <c r="L138" s="739">
        <f t="shared" si="11"/>
        <v>1776852.1</v>
      </c>
      <c r="M138" s="178"/>
      <c r="N138" s="178"/>
      <c r="O138" s="178"/>
      <c r="P138" s="178"/>
      <c r="Q138" s="178"/>
      <c r="R138" s="178"/>
    </row>
    <row r="139" spans="1:18" ht="12.75" x14ac:dyDescent="0.2">
      <c r="A139" s="713">
        <v>1697</v>
      </c>
      <c r="B139" s="233" t="s">
        <v>3575</v>
      </c>
      <c r="C139" s="310">
        <v>0</v>
      </c>
      <c r="D139" s="310">
        <v>0</v>
      </c>
      <c r="E139" s="310">
        <f t="shared" si="9"/>
        <v>0</v>
      </c>
      <c r="F139" s="711"/>
      <c r="G139" s="310">
        <v>2250000</v>
      </c>
      <c r="H139" s="310">
        <f t="shared" si="10"/>
        <v>0</v>
      </c>
      <c r="I139" s="310">
        <v>2250000</v>
      </c>
      <c r="J139" s="310">
        <f t="shared" si="8"/>
        <v>0</v>
      </c>
      <c r="K139" s="310">
        <v>0</v>
      </c>
      <c r="L139" s="739">
        <f t="shared" si="11"/>
        <v>2250000</v>
      </c>
      <c r="M139" s="178"/>
      <c r="N139" s="178"/>
      <c r="O139" s="178"/>
      <c r="P139" s="178"/>
      <c r="Q139" s="178"/>
      <c r="R139" s="178"/>
    </row>
    <row r="140" spans="1:18" ht="12.75" x14ac:dyDescent="0.2">
      <c r="A140" s="713">
        <v>1698</v>
      </c>
      <c r="B140" s="233" t="s">
        <v>3576</v>
      </c>
      <c r="C140" s="310">
        <v>0</v>
      </c>
      <c r="D140" s="310">
        <v>0</v>
      </c>
      <c r="E140" s="310">
        <f t="shared" si="9"/>
        <v>0</v>
      </c>
      <c r="F140" s="711"/>
      <c r="G140" s="310">
        <v>101345</v>
      </c>
      <c r="H140" s="310">
        <f t="shared" si="10"/>
        <v>0</v>
      </c>
      <c r="I140" s="310">
        <v>101345</v>
      </c>
      <c r="J140" s="310">
        <f t="shared" si="8"/>
        <v>0</v>
      </c>
      <c r="K140" s="310">
        <v>0</v>
      </c>
      <c r="L140" s="739">
        <f t="shared" si="11"/>
        <v>101345</v>
      </c>
      <c r="M140" s="178"/>
      <c r="N140" s="178"/>
      <c r="O140" s="178"/>
      <c r="P140" s="178"/>
      <c r="Q140" s="178"/>
      <c r="R140" s="178"/>
    </row>
    <row r="141" spans="1:18" ht="12.75" x14ac:dyDescent="0.2">
      <c r="A141" s="713">
        <v>1754</v>
      </c>
      <c r="B141" s="233" t="s">
        <v>2260</v>
      </c>
      <c r="C141" s="310">
        <v>0</v>
      </c>
      <c r="D141" s="310">
        <v>0</v>
      </c>
      <c r="E141" s="310">
        <f t="shared" si="9"/>
        <v>0</v>
      </c>
      <c r="F141" s="711"/>
      <c r="G141" s="310">
        <v>3615987.87</v>
      </c>
      <c r="H141" s="310">
        <f t="shared" si="10"/>
        <v>0</v>
      </c>
      <c r="I141" s="310">
        <v>3615987.87</v>
      </c>
      <c r="J141" s="310">
        <f t="shared" si="8"/>
        <v>0</v>
      </c>
      <c r="K141" s="310">
        <v>0</v>
      </c>
      <c r="L141" s="739">
        <f t="shared" si="11"/>
        <v>3615987.87</v>
      </c>
      <c r="M141" s="178"/>
      <c r="N141" s="178"/>
      <c r="O141" s="178"/>
      <c r="P141" s="178"/>
      <c r="Q141" s="178"/>
      <c r="R141" s="178"/>
    </row>
    <row r="142" spans="1:18" ht="12.75" x14ac:dyDescent="0.2">
      <c r="A142" s="713">
        <v>1755</v>
      </c>
      <c r="B142" s="233" t="s">
        <v>2790</v>
      </c>
      <c r="C142" s="310">
        <v>25777613</v>
      </c>
      <c r="D142" s="310">
        <v>6140108.29</v>
      </c>
      <c r="E142" s="310">
        <f t="shared" si="9"/>
        <v>19637504.710000001</v>
      </c>
      <c r="F142" s="711"/>
      <c r="G142" s="310">
        <v>14250706.199999999</v>
      </c>
      <c r="H142" s="310">
        <f t="shared" si="10"/>
        <v>5715822</v>
      </c>
      <c r="I142" s="310">
        <v>19966528.199999999</v>
      </c>
      <c r="J142" s="310">
        <f t="shared" si="8"/>
        <v>6140108.29</v>
      </c>
      <c r="K142" s="310">
        <v>0</v>
      </c>
      <c r="L142" s="739">
        <f t="shared" si="11"/>
        <v>13826419.91</v>
      </c>
      <c r="M142" s="178"/>
      <c r="N142" s="178"/>
      <c r="O142" s="178"/>
      <c r="P142" s="178"/>
      <c r="Q142" s="178"/>
      <c r="R142" s="178"/>
    </row>
    <row r="143" spans="1:18" ht="12.75" x14ac:dyDescent="0.2">
      <c r="A143" s="713">
        <v>1756</v>
      </c>
      <c r="B143" s="233" t="s">
        <v>2791</v>
      </c>
      <c r="C143" s="310">
        <v>0</v>
      </c>
      <c r="D143" s="310">
        <v>105000</v>
      </c>
      <c r="E143" s="310">
        <f t="shared" si="9"/>
        <v>-105000</v>
      </c>
      <c r="F143" s="711"/>
      <c r="G143" s="310">
        <v>4473765</v>
      </c>
      <c r="H143" s="310">
        <f t="shared" si="10"/>
        <v>48220</v>
      </c>
      <c r="I143" s="310">
        <v>4521985</v>
      </c>
      <c r="J143" s="310">
        <f t="shared" si="8"/>
        <v>105000</v>
      </c>
      <c r="K143" s="310">
        <v>0</v>
      </c>
      <c r="L143" s="739">
        <f t="shared" si="11"/>
        <v>4416985</v>
      </c>
      <c r="M143" s="178"/>
      <c r="N143" s="178"/>
      <c r="O143" s="178"/>
      <c r="P143" s="178"/>
      <c r="Q143" s="178"/>
      <c r="R143" s="178"/>
    </row>
    <row r="144" spans="1:18" ht="12.75" x14ac:dyDescent="0.2">
      <c r="A144" s="713">
        <v>1757</v>
      </c>
      <c r="B144" s="233" t="s">
        <v>2792</v>
      </c>
      <c r="C144" s="310">
        <v>0</v>
      </c>
      <c r="D144" s="310">
        <v>0</v>
      </c>
      <c r="E144" s="310">
        <f t="shared" si="9"/>
        <v>0</v>
      </c>
      <c r="F144" s="711"/>
      <c r="G144" s="310">
        <v>334937.93000000017</v>
      </c>
      <c r="H144" s="310">
        <f t="shared" si="10"/>
        <v>0</v>
      </c>
      <c r="I144" s="310">
        <v>334937.93</v>
      </c>
      <c r="J144" s="310">
        <f t="shared" si="8"/>
        <v>0</v>
      </c>
      <c r="K144" s="310">
        <v>0</v>
      </c>
      <c r="L144" s="739">
        <f t="shared" si="11"/>
        <v>334937.93</v>
      </c>
      <c r="M144" s="178"/>
      <c r="N144" s="178"/>
      <c r="O144" s="178"/>
      <c r="P144" s="178"/>
      <c r="Q144" s="178"/>
      <c r="R144" s="178"/>
    </row>
    <row r="145" spans="1:18" ht="12.75" x14ac:dyDescent="0.2">
      <c r="A145" s="713">
        <v>1806</v>
      </c>
      <c r="B145" s="233" t="s">
        <v>1825</v>
      </c>
      <c r="C145" s="310">
        <v>5500000</v>
      </c>
      <c r="D145" s="310">
        <v>1850000</v>
      </c>
      <c r="E145" s="310">
        <f t="shared" si="9"/>
        <v>3650000</v>
      </c>
      <c r="F145" s="711"/>
      <c r="G145" s="310">
        <v>11251533.16</v>
      </c>
      <c r="H145" s="310">
        <f t="shared" si="10"/>
        <v>2868964.6199999992</v>
      </c>
      <c r="I145" s="310">
        <v>14120497.779999999</v>
      </c>
      <c r="J145" s="310">
        <f t="shared" si="8"/>
        <v>1850000</v>
      </c>
      <c r="K145" s="310">
        <v>0</v>
      </c>
      <c r="L145" s="739">
        <f t="shared" si="11"/>
        <v>12270497.779999999</v>
      </c>
      <c r="M145" s="178"/>
      <c r="N145" s="178"/>
      <c r="O145" s="178"/>
      <c r="P145" s="178"/>
      <c r="Q145" s="178"/>
      <c r="R145" s="178"/>
    </row>
    <row r="146" spans="1:18" ht="12.75" x14ac:dyDescent="0.2">
      <c r="A146" s="713">
        <v>1807</v>
      </c>
      <c r="B146" s="233" t="s">
        <v>2346</v>
      </c>
      <c r="C146" s="310">
        <v>0</v>
      </c>
      <c r="D146" s="310">
        <v>0</v>
      </c>
      <c r="E146" s="310">
        <f t="shared" si="9"/>
        <v>0</v>
      </c>
      <c r="F146" s="711"/>
      <c r="G146" s="310">
        <v>111538902.70999999</v>
      </c>
      <c r="H146" s="310">
        <f t="shared" si="10"/>
        <v>0</v>
      </c>
      <c r="I146" s="310">
        <v>111538902.70999999</v>
      </c>
      <c r="J146" s="310">
        <f t="shared" si="8"/>
        <v>0</v>
      </c>
      <c r="K146" s="310">
        <v>0</v>
      </c>
      <c r="L146" s="739">
        <f t="shared" si="11"/>
        <v>111538902.70999999</v>
      </c>
      <c r="M146" s="178"/>
      <c r="N146" s="178"/>
      <c r="O146" s="178"/>
      <c r="P146" s="178"/>
      <c r="Q146" s="178"/>
      <c r="R146" s="178"/>
    </row>
    <row r="147" spans="1:18" ht="12.75" x14ac:dyDescent="0.2">
      <c r="A147" s="713">
        <v>1808</v>
      </c>
      <c r="B147" s="233" t="s">
        <v>1484</v>
      </c>
      <c r="C147" s="310">
        <v>0</v>
      </c>
      <c r="D147" s="310">
        <v>0</v>
      </c>
      <c r="E147" s="310">
        <f t="shared" si="9"/>
        <v>0</v>
      </c>
      <c r="F147" s="711"/>
      <c r="G147" s="310">
        <v>10000000</v>
      </c>
      <c r="H147" s="310">
        <f t="shared" si="10"/>
        <v>0</v>
      </c>
      <c r="I147" s="310">
        <v>10000000</v>
      </c>
      <c r="J147" s="310">
        <f t="shared" si="8"/>
        <v>0</v>
      </c>
      <c r="K147" s="310">
        <v>0</v>
      </c>
      <c r="L147" s="739">
        <f t="shared" si="11"/>
        <v>10000000</v>
      </c>
      <c r="M147" s="178"/>
      <c r="N147" s="178"/>
      <c r="O147" s="178"/>
      <c r="P147" s="178"/>
      <c r="Q147" s="178"/>
      <c r="R147" s="178"/>
    </row>
    <row r="148" spans="1:18" ht="12.75" x14ac:dyDescent="0.2">
      <c r="A148" s="713">
        <v>1809</v>
      </c>
      <c r="B148" s="233" t="s">
        <v>2347</v>
      </c>
      <c r="C148" s="310">
        <v>0</v>
      </c>
      <c r="D148" s="310">
        <v>0</v>
      </c>
      <c r="E148" s="310">
        <f t="shared" si="9"/>
        <v>0</v>
      </c>
      <c r="F148" s="711"/>
      <c r="G148" s="310">
        <v>5353800</v>
      </c>
      <c r="H148" s="310">
        <f t="shared" si="10"/>
        <v>0</v>
      </c>
      <c r="I148" s="310">
        <v>5353800</v>
      </c>
      <c r="J148" s="310">
        <f t="shared" si="8"/>
        <v>0</v>
      </c>
      <c r="K148" s="310">
        <v>0</v>
      </c>
      <c r="L148" s="739">
        <f t="shared" si="11"/>
        <v>5353800</v>
      </c>
      <c r="M148" s="178"/>
      <c r="N148" s="178"/>
      <c r="O148" s="178"/>
      <c r="P148" s="178"/>
      <c r="Q148" s="178"/>
      <c r="R148" s="178"/>
    </row>
    <row r="149" spans="1:18" ht="12.75" x14ac:dyDescent="0.2">
      <c r="A149" s="713">
        <v>1810</v>
      </c>
      <c r="B149" s="233" t="s">
        <v>2348</v>
      </c>
      <c r="C149" s="310">
        <v>0</v>
      </c>
      <c r="D149" s="310">
        <v>0</v>
      </c>
      <c r="E149" s="310">
        <f t="shared" si="9"/>
        <v>0</v>
      </c>
      <c r="F149" s="711"/>
      <c r="G149" s="310">
        <v>274618.56000000006</v>
      </c>
      <c r="H149" s="310">
        <f t="shared" si="10"/>
        <v>237965.18999999994</v>
      </c>
      <c r="I149" s="310">
        <v>512583.75</v>
      </c>
      <c r="J149" s="310">
        <f t="shared" si="8"/>
        <v>0</v>
      </c>
      <c r="K149" s="310">
        <v>0</v>
      </c>
      <c r="L149" s="739">
        <f t="shared" si="11"/>
        <v>512583.75</v>
      </c>
      <c r="M149" s="178"/>
      <c r="N149" s="178"/>
      <c r="O149" s="178"/>
      <c r="P149" s="178"/>
      <c r="Q149" s="178"/>
      <c r="R149" s="178"/>
    </row>
    <row r="150" spans="1:18" ht="12.75" x14ac:dyDescent="0.2">
      <c r="A150" s="713">
        <v>1816</v>
      </c>
      <c r="B150" s="233" t="s">
        <v>1485</v>
      </c>
      <c r="C150" s="310">
        <v>0</v>
      </c>
      <c r="D150" s="310">
        <v>0</v>
      </c>
      <c r="E150" s="310">
        <f t="shared" si="9"/>
        <v>0</v>
      </c>
      <c r="F150" s="711"/>
      <c r="G150" s="310">
        <v>1.409999999916181</v>
      </c>
      <c r="H150" s="310">
        <f t="shared" si="10"/>
        <v>1896155.32</v>
      </c>
      <c r="I150" s="310">
        <v>1896156.73</v>
      </c>
      <c r="J150" s="310">
        <f t="shared" si="8"/>
        <v>0</v>
      </c>
      <c r="K150" s="310">
        <v>0</v>
      </c>
      <c r="L150" s="739">
        <f t="shared" si="11"/>
        <v>1896156.73</v>
      </c>
      <c r="M150" s="178"/>
      <c r="N150" s="178"/>
      <c r="O150" s="178"/>
      <c r="P150" s="178"/>
      <c r="Q150" s="178"/>
      <c r="R150" s="178"/>
    </row>
    <row r="151" spans="1:18" ht="12.75" x14ac:dyDescent="0.2">
      <c r="A151" s="713">
        <v>1817</v>
      </c>
      <c r="B151" s="233" t="s">
        <v>1486</v>
      </c>
      <c r="C151" s="310">
        <v>0</v>
      </c>
      <c r="D151" s="310">
        <v>0</v>
      </c>
      <c r="E151" s="310">
        <f t="shared" si="9"/>
        <v>0</v>
      </c>
      <c r="F151" s="711"/>
      <c r="G151" s="310">
        <v>2574313.75</v>
      </c>
      <c r="H151" s="310">
        <f t="shared" si="10"/>
        <v>0</v>
      </c>
      <c r="I151" s="310">
        <v>2574313.75</v>
      </c>
      <c r="J151" s="310">
        <f t="shared" si="8"/>
        <v>0</v>
      </c>
      <c r="K151" s="310">
        <v>0</v>
      </c>
      <c r="L151" s="739">
        <f t="shared" si="11"/>
        <v>2574313.75</v>
      </c>
      <c r="M151" s="178"/>
      <c r="N151" s="178"/>
      <c r="O151" s="178"/>
      <c r="P151" s="178"/>
      <c r="Q151" s="178"/>
      <c r="R151" s="178"/>
    </row>
    <row r="152" spans="1:18" ht="12.75" x14ac:dyDescent="0.2">
      <c r="A152" s="713">
        <v>1819</v>
      </c>
      <c r="B152" s="233" t="s">
        <v>1722</v>
      </c>
      <c r="C152" s="310">
        <v>0</v>
      </c>
      <c r="D152" s="310">
        <v>0</v>
      </c>
      <c r="E152" s="310">
        <f t="shared" si="9"/>
        <v>0</v>
      </c>
      <c r="F152" s="711"/>
      <c r="G152" s="310">
        <v>87271843.680000007</v>
      </c>
      <c r="H152" s="310">
        <f t="shared" si="10"/>
        <v>0</v>
      </c>
      <c r="I152" s="310">
        <v>87271843.680000007</v>
      </c>
      <c r="J152" s="310">
        <f t="shared" si="8"/>
        <v>0</v>
      </c>
      <c r="K152" s="310">
        <v>0</v>
      </c>
      <c r="L152" s="739">
        <f t="shared" si="11"/>
        <v>87271843.680000007</v>
      </c>
      <c r="M152" s="178"/>
      <c r="N152" s="178"/>
      <c r="O152" s="178"/>
      <c r="P152" s="178"/>
      <c r="Q152" s="178"/>
      <c r="R152" s="178"/>
    </row>
    <row r="153" spans="1:18" ht="12.75" x14ac:dyDescent="0.2">
      <c r="A153" s="713">
        <v>1820</v>
      </c>
      <c r="B153" s="233" t="s">
        <v>2793</v>
      </c>
      <c r="C153" s="310">
        <v>0</v>
      </c>
      <c r="D153" s="310">
        <v>0</v>
      </c>
      <c r="E153" s="310">
        <f t="shared" si="9"/>
        <v>0</v>
      </c>
      <c r="F153" s="711"/>
      <c r="G153" s="310">
        <v>47259485.060000002</v>
      </c>
      <c r="H153" s="310">
        <f t="shared" si="10"/>
        <v>22743526.489999995</v>
      </c>
      <c r="I153" s="310">
        <v>70003011.549999997</v>
      </c>
      <c r="J153" s="310">
        <f t="shared" si="8"/>
        <v>0</v>
      </c>
      <c r="K153" s="310">
        <v>0</v>
      </c>
      <c r="L153" s="739">
        <f t="shared" si="11"/>
        <v>70003011.549999997</v>
      </c>
      <c r="M153" s="178"/>
      <c r="N153" s="178"/>
      <c r="O153" s="178"/>
      <c r="P153" s="178"/>
      <c r="Q153" s="178"/>
      <c r="R153" s="178"/>
    </row>
    <row r="154" spans="1:18" ht="12.75" x14ac:dyDescent="0.2">
      <c r="A154" s="713">
        <v>1821</v>
      </c>
      <c r="B154" s="233" t="s">
        <v>3577</v>
      </c>
      <c r="C154" s="310">
        <v>0</v>
      </c>
      <c r="D154" s="310">
        <v>0</v>
      </c>
      <c r="E154" s="310">
        <f t="shared" si="9"/>
        <v>0</v>
      </c>
      <c r="F154" s="711"/>
      <c r="G154" s="310">
        <v>17070000</v>
      </c>
      <c r="H154" s="310">
        <f t="shared" si="10"/>
        <v>-17070000</v>
      </c>
      <c r="I154" s="310">
        <v>0</v>
      </c>
      <c r="J154" s="310">
        <f t="shared" si="8"/>
        <v>0</v>
      </c>
      <c r="K154" s="310">
        <v>0</v>
      </c>
      <c r="L154" s="739">
        <f t="shared" si="11"/>
        <v>0</v>
      </c>
      <c r="M154" s="178"/>
      <c r="N154" s="178"/>
      <c r="O154" s="178"/>
      <c r="P154" s="178"/>
      <c r="Q154" s="178"/>
      <c r="R154" s="178"/>
    </row>
    <row r="155" spans="1:18" ht="12.75" x14ac:dyDescent="0.2">
      <c r="A155" s="713">
        <v>1833</v>
      </c>
      <c r="B155" s="233" t="s">
        <v>1544</v>
      </c>
      <c r="C155" s="310">
        <v>7800000</v>
      </c>
      <c r="D155" s="310">
        <v>2909474.53</v>
      </c>
      <c r="E155" s="310">
        <f t="shared" si="9"/>
        <v>4890525.4700000007</v>
      </c>
      <c r="F155" s="711"/>
      <c r="G155" s="310">
        <v>7831647.6100000003</v>
      </c>
      <c r="H155" s="310">
        <f t="shared" si="10"/>
        <v>0</v>
      </c>
      <c r="I155" s="310">
        <v>7831647.6100000003</v>
      </c>
      <c r="J155" s="310">
        <f t="shared" si="8"/>
        <v>2909474.53</v>
      </c>
      <c r="K155" s="310">
        <v>0</v>
      </c>
      <c r="L155" s="739">
        <f t="shared" si="11"/>
        <v>4922173.08</v>
      </c>
      <c r="M155" s="178"/>
      <c r="N155" s="178"/>
      <c r="O155" s="178"/>
      <c r="P155" s="178"/>
      <c r="Q155" s="178"/>
      <c r="R155" s="178"/>
    </row>
    <row r="156" spans="1:18" ht="12.75" x14ac:dyDescent="0.2">
      <c r="A156" s="713">
        <v>1842</v>
      </c>
      <c r="B156" s="233" t="s">
        <v>1545</v>
      </c>
      <c r="C156" s="310">
        <v>0</v>
      </c>
      <c r="D156" s="310">
        <v>0</v>
      </c>
      <c r="E156" s="310">
        <f t="shared" si="9"/>
        <v>0</v>
      </c>
      <c r="F156" s="711"/>
      <c r="G156" s="310">
        <v>13189201</v>
      </c>
      <c r="H156" s="310">
        <f t="shared" si="10"/>
        <v>44355.599999999627</v>
      </c>
      <c r="I156" s="310">
        <v>13233556.6</v>
      </c>
      <c r="J156" s="310">
        <f t="shared" si="8"/>
        <v>0</v>
      </c>
      <c r="K156" s="310">
        <v>0</v>
      </c>
      <c r="L156" s="739">
        <f t="shared" si="11"/>
        <v>13233556.6</v>
      </c>
      <c r="M156" s="178"/>
      <c r="N156" s="178"/>
      <c r="O156" s="178"/>
      <c r="P156" s="178"/>
      <c r="Q156" s="178"/>
      <c r="R156" s="178"/>
    </row>
    <row r="157" spans="1:18" ht="12.75" x14ac:dyDescent="0.2">
      <c r="A157" s="713">
        <v>1901</v>
      </c>
      <c r="B157" s="233" t="s">
        <v>2349</v>
      </c>
      <c r="C157" s="310">
        <v>0</v>
      </c>
      <c r="D157" s="310">
        <v>128200</v>
      </c>
      <c r="E157" s="310">
        <f t="shared" si="9"/>
        <v>-128200</v>
      </c>
      <c r="F157" s="711"/>
      <c r="G157" s="310">
        <v>8903655.9000000004</v>
      </c>
      <c r="H157" s="310">
        <f t="shared" si="10"/>
        <v>1382000</v>
      </c>
      <c r="I157" s="310">
        <v>10285655.9</v>
      </c>
      <c r="J157" s="310">
        <f t="shared" si="8"/>
        <v>128200</v>
      </c>
      <c r="K157" s="310">
        <v>0</v>
      </c>
      <c r="L157" s="739">
        <f t="shared" si="11"/>
        <v>10157455.9</v>
      </c>
      <c r="M157" s="178"/>
      <c r="N157" s="178"/>
      <c r="O157" s="178"/>
      <c r="P157" s="178"/>
      <c r="Q157" s="178"/>
      <c r="R157" s="178"/>
    </row>
    <row r="158" spans="1:18" ht="12.75" x14ac:dyDescent="0.2">
      <c r="A158" s="713">
        <v>1913</v>
      </c>
      <c r="B158" s="233" t="s">
        <v>502</v>
      </c>
      <c r="C158" s="310">
        <v>63213778.5</v>
      </c>
      <c r="D158" s="310">
        <v>6273690.6699999999</v>
      </c>
      <c r="E158" s="310">
        <f t="shared" si="9"/>
        <v>56940087.829999998</v>
      </c>
      <c r="F158" s="711"/>
      <c r="G158" s="310">
        <v>25774928.310000002</v>
      </c>
      <c r="H158" s="310">
        <f t="shared" si="10"/>
        <v>8934017.3900000006</v>
      </c>
      <c r="I158" s="310">
        <v>34708945.700000003</v>
      </c>
      <c r="J158" s="310">
        <f t="shared" si="8"/>
        <v>6273690.6699999999</v>
      </c>
      <c r="K158" s="310">
        <v>7430187.5</v>
      </c>
      <c r="L158" s="739">
        <f t="shared" si="11"/>
        <v>21005067.530000001</v>
      </c>
      <c r="M158" s="178"/>
      <c r="N158" s="178"/>
      <c r="O158" s="178"/>
      <c r="P158" s="178"/>
      <c r="Q158" s="178"/>
      <c r="R158" s="178"/>
    </row>
    <row r="159" spans="1:18" ht="12.75" x14ac:dyDescent="0.2">
      <c r="A159" s="713">
        <v>1922</v>
      </c>
      <c r="B159" s="233" t="s">
        <v>503</v>
      </c>
      <c r="C159" s="310">
        <v>838696255.30999994</v>
      </c>
      <c r="D159" s="310">
        <v>112930715.88</v>
      </c>
      <c r="E159" s="310">
        <f t="shared" si="9"/>
        <v>725765539.42999995</v>
      </c>
      <c r="F159" s="711"/>
      <c r="G159" s="310">
        <v>533719069.42000002</v>
      </c>
      <c r="H159" s="310">
        <f t="shared" si="10"/>
        <v>288292167.48999995</v>
      </c>
      <c r="I159" s="310">
        <v>822011236.90999997</v>
      </c>
      <c r="J159" s="310">
        <f t="shared" si="8"/>
        <v>112930715.88</v>
      </c>
      <c r="K159" s="310">
        <v>38016389.960000001</v>
      </c>
      <c r="L159" s="739">
        <f t="shared" si="11"/>
        <v>671064131.06999993</v>
      </c>
      <c r="M159" s="178"/>
      <c r="N159" s="178"/>
      <c r="O159" s="178"/>
      <c r="P159" s="178"/>
      <c r="Q159" s="178"/>
      <c r="R159" s="178"/>
    </row>
    <row r="160" spans="1:18" ht="12.75" x14ac:dyDescent="0.2">
      <c r="A160" s="713">
        <v>1931</v>
      </c>
      <c r="B160" s="233" t="s">
        <v>1512</v>
      </c>
      <c r="C160" s="310">
        <v>55535.65</v>
      </c>
      <c r="D160" s="310">
        <v>0</v>
      </c>
      <c r="E160" s="310">
        <f t="shared" si="9"/>
        <v>55535.65</v>
      </c>
      <c r="F160" s="711"/>
      <c r="G160" s="310">
        <v>16576173.329999998</v>
      </c>
      <c r="H160" s="310">
        <f t="shared" si="10"/>
        <v>55535.650000002235</v>
      </c>
      <c r="I160" s="310">
        <v>16631708.98</v>
      </c>
      <c r="J160" s="310">
        <f t="shared" si="8"/>
        <v>0</v>
      </c>
      <c r="K160" s="310">
        <v>55535.65</v>
      </c>
      <c r="L160" s="739">
        <f t="shared" si="11"/>
        <v>16576173.33</v>
      </c>
      <c r="M160" s="178"/>
      <c r="N160" s="178"/>
      <c r="O160" s="178"/>
      <c r="P160" s="178"/>
      <c r="Q160" s="178"/>
      <c r="R160" s="178"/>
    </row>
    <row r="161" spans="1:18" ht="12.75" x14ac:dyDescent="0.2">
      <c r="A161" s="713">
        <v>1933</v>
      </c>
      <c r="B161" s="233" t="s">
        <v>1826</v>
      </c>
      <c r="C161" s="310">
        <v>17297540.050000001</v>
      </c>
      <c r="D161" s="310">
        <v>1797540.05</v>
      </c>
      <c r="E161" s="310">
        <f t="shared" si="9"/>
        <v>15500000</v>
      </c>
      <c r="F161" s="711"/>
      <c r="G161" s="310">
        <v>15897022.039999999</v>
      </c>
      <c r="H161" s="310">
        <f t="shared" si="10"/>
        <v>1797540.0500000007</v>
      </c>
      <c r="I161" s="310">
        <v>17694562.09</v>
      </c>
      <c r="J161" s="310">
        <f t="shared" si="8"/>
        <v>1797540.05</v>
      </c>
      <c r="K161" s="310">
        <v>0</v>
      </c>
      <c r="L161" s="739">
        <f t="shared" si="11"/>
        <v>15897022.039999999</v>
      </c>
      <c r="M161" s="178"/>
      <c r="N161" s="178"/>
      <c r="O161" s="178"/>
      <c r="P161" s="178"/>
      <c r="Q161" s="178"/>
      <c r="R161" s="178"/>
    </row>
    <row r="162" spans="1:18" ht="12.75" x14ac:dyDescent="0.2">
      <c r="A162" s="713">
        <v>1938</v>
      </c>
      <c r="B162" s="233" t="s">
        <v>505</v>
      </c>
      <c r="C162" s="310">
        <v>44918683</v>
      </c>
      <c r="D162" s="310">
        <v>3875807.71</v>
      </c>
      <c r="E162" s="310">
        <f t="shared" si="9"/>
        <v>41042875.289999999</v>
      </c>
      <c r="F162" s="711"/>
      <c r="G162" s="310">
        <v>24739426.350000001</v>
      </c>
      <c r="H162" s="310">
        <f t="shared" si="10"/>
        <v>13718918.809999995</v>
      </c>
      <c r="I162" s="310">
        <v>38458345.159999996</v>
      </c>
      <c r="J162" s="310">
        <f t="shared" si="8"/>
        <v>3875807.71</v>
      </c>
      <c r="K162" s="310">
        <v>0</v>
      </c>
      <c r="L162" s="739">
        <f t="shared" si="11"/>
        <v>34582537.449999996</v>
      </c>
      <c r="M162" s="178"/>
      <c r="N162" s="178"/>
      <c r="O162" s="178"/>
      <c r="P162" s="178"/>
      <c r="Q162" s="178"/>
      <c r="R162" s="178"/>
    </row>
    <row r="163" spans="1:18" ht="12.75" x14ac:dyDescent="0.2">
      <c r="A163" s="713">
        <v>1942</v>
      </c>
      <c r="B163" s="233" t="s">
        <v>819</v>
      </c>
      <c r="C163" s="310">
        <v>254500000</v>
      </c>
      <c r="D163" s="310">
        <v>43537639.619999997</v>
      </c>
      <c r="E163" s="310">
        <f t="shared" si="9"/>
        <v>210962360.38</v>
      </c>
      <c r="F163" s="711"/>
      <c r="G163" s="310">
        <v>198815522.87</v>
      </c>
      <c r="H163" s="310">
        <f t="shared" si="10"/>
        <v>39272611.99000001</v>
      </c>
      <c r="I163" s="310">
        <v>238088134.86000001</v>
      </c>
      <c r="J163" s="310">
        <f t="shared" si="8"/>
        <v>43537639.619999997</v>
      </c>
      <c r="K163" s="310">
        <v>0</v>
      </c>
      <c r="L163" s="739">
        <f t="shared" si="11"/>
        <v>194550495.24000001</v>
      </c>
      <c r="M163" s="178"/>
      <c r="N163" s="178"/>
      <c r="O163" s="178"/>
      <c r="P163" s="178"/>
      <c r="Q163" s="178"/>
      <c r="R163" s="178"/>
    </row>
    <row r="164" spans="1:18" ht="12.75" x14ac:dyDescent="0.2">
      <c r="A164" s="233"/>
      <c r="B164" s="233" t="s">
        <v>1723</v>
      </c>
      <c r="C164" s="310">
        <v>0</v>
      </c>
      <c r="D164" s="310">
        <v>0</v>
      </c>
      <c r="E164" s="310">
        <f t="shared" si="9"/>
        <v>0</v>
      </c>
      <c r="F164" s="711"/>
      <c r="G164" s="310">
        <v>8237732.9699999997</v>
      </c>
      <c r="H164" s="310">
        <f t="shared" si="10"/>
        <v>-1583222.8199999994</v>
      </c>
      <c r="I164" s="310">
        <v>6654510.1500000004</v>
      </c>
      <c r="J164" s="310">
        <f t="shared" si="8"/>
        <v>0</v>
      </c>
      <c r="K164" s="310">
        <v>0</v>
      </c>
      <c r="L164" s="739">
        <f>I164-J164-K164</f>
        <v>6654510.1500000004</v>
      </c>
      <c r="M164" s="178"/>
      <c r="N164" s="178"/>
      <c r="O164" s="178"/>
      <c r="P164" s="178"/>
      <c r="Q164" s="178"/>
      <c r="R164" s="178"/>
    </row>
    <row r="165" spans="1:18" ht="12.75" x14ac:dyDescent="0.2">
      <c r="A165" s="233"/>
      <c r="B165" s="233"/>
      <c r="C165" s="310"/>
      <c r="D165" s="310"/>
      <c r="E165" s="310"/>
      <c r="F165" s="711"/>
      <c r="G165" s="310"/>
      <c r="H165" s="310"/>
      <c r="I165" s="310"/>
      <c r="J165" s="310"/>
      <c r="K165" s="310"/>
      <c r="L165" s="310"/>
      <c r="M165" s="178"/>
      <c r="N165" s="178"/>
      <c r="O165" s="178"/>
      <c r="P165" s="178"/>
      <c r="Q165" s="178"/>
      <c r="R165" s="178"/>
    </row>
    <row r="166" spans="1:18" ht="12.75" x14ac:dyDescent="0.2">
      <c r="A166" s="233"/>
      <c r="B166" s="722" t="s">
        <v>1024</v>
      </c>
      <c r="C166" s="723">
        <f>SUM(C3:C165)</f>
        <v>11998206899.630001</v>
      </c>
      <c r="D166" s="723">
        <f>SUM(D3:D165)</f>
        <v>3209478447.9000006</v>
      </c>
      <c r="E166" s="723">
        <f>SUM(E3:E165)</f>
        <v>8788728451.7299995</v>
      </c>
      <c r="F166" s="711"/>
      <c r="G166" s="723">
        <f t="shared" ref="G166:L166" si="12">SUM(G3:G165)</f>
        <v>6236159940.7700014</v>
      </c>
      <c r="H166" s="723">
        <f t="shared" si="12"/>
        <v>5897868952.3399992</v>
      </c>
      <c r="I166" s="723">
        <f t="shared" si="12"/>
        <v>12134028893.110003</v>
      </c>
      <c r="J166" s="723">
        <f t="shared" si="12"/>
        <v>3209478447.9000006</v>
      </c>
      <c r="K166" s="723">
        <f t="shared" si="12"/>
        <v>1805100248.4200001</v>
      </c>
      <c r="L166" s="723">
        <f t="shared" si="12"/>
        <v>7119450196.789999</v>
      </c>
      <c r="M166" s="178"/>
      <c r="N166" s="178"/>
      <c r="O166" s="178"/>
      <c r="P166" s="178"/>
      <c r="Q166" s="178"/>
      <c r="R166" s="178"/>
    </row>
    <row r="167" spans="1:18" ht="12.75" x14ac:dyDescent="0.2">
      <c r="A167" s="233"/>
      <c r="B167" s="233"/>
      <c r="C167" s="310"/>
      <c r="D167" s="310"/>
      <c r="E167" s="310"/>
      <c r="F167" s="711"/>
      <c r="G167" s="310"/>
      <c r="H167" s="310"/>
      <c r="I167" s="310"/>
      <c r="J167" s="310"/>
      <c r="K167" s="310"/>
      <c r="L167" s="310"/>
      <c r="M167" s="178"/>
      <c r="N167" s="178"/>
      <c r="O167" s="178"/>
      <c r="P167" s="178"/>
      <c r="Q167" s="178"/>
      <c r="R167" s="178"/>
    </row>
    <row r="168" spans="1:18" ht="12.75" x14ac:dyDescent="0.2">
      <c r="A168" s="713">
        <v>1300</v>
      </c>
      <c r="B168" s="233" t="s">
        <v>2350</v>
      </c>
      <c r="C168" s="310">
        <v>-101976390.84</v>
      </c>
      <c r="D168" s="310">
        <v>0</v>
      </c>
      <c r="E168" s="310">
        <f t="shared" ref="E168:E174" si="13">C168-D168</f>
        <v>-101976390.84</v>
      </c>
      <c r="F168" s="711"/>
      <c r="G168" s="310"/>
      <c r="H168" s="310"/>
      <c r="I168" s="310"/>
      <c r="J168" s="310"/>
      <c r="K168" s="310"/>
      <c r="L168" s="310"/>
      <c r="M168" s="178"/>
      <c r="N168" s="178"/>
      <c r="O168" s="178"/>
      <c r="P168" s="178"/>
      <c r="Q168" s="178"/>
      <c r="R168" s="178"/>
    </row>
    <row r="169" spans="1:18" ht="12.75" x14ac:dyDescent="0.2">
      <c r="A169" s="713">
        <v>1400</v>
      </c>
      <c r="B169" s="233" t="s">
        <v>2794</v>
      </c>
      <c r="C169" s="310">
        <v>507154350.63999999</v>
      </c>
      <c r="D169" s="310">
        <v>0</v>
      </c>
      <c r="E169" s="310">
        <f t="shared" si="13"/>
        <v>507154350.63999999</v>
      </c>
      <c r="F169" s="711"/>
      <c r="G169" s="310"/>
      <c r="H169" s="310"/>
      <c r="I169" s="310"/>
      <c r="J169" s="310"/>
      <c r="K169" s="310"/>
      <c r="L169" s="310"/>
      <c r="M169" s="178"/>
      <c r="N169" s="178"/>
      <c r="O169" s="178"/>
      <c r="P169" s="178"/>
      <c r="Q169" s="178"/>
      <c r="R169" s="178"/>
    </row>
    <row r="170" spans="1:18" ht="12.75" x14ac:dyDescent="0.2">
      <c r="A170" s="713">
        <v>1600</v>
      </c>
      <c r="B170" s="233" t="s">
        <v>1487</v>
      </c>
      <c r="C170" s="310">
        <v>-157729631.49000001</v>
      </c>
      <c r="D170" s="310">
        <v>0</v>
      </c>
      <c r="E170" s="310">
        <f t="shared" si="13"/>
        <v>-157729631.49000001</v>
      </c>
      <c r="F170" s="711"/>
      <c r="G170" s="310"/>
      <c r="H170" s="310"/>
      <c r="I170" s="310"/>
      <c r="J170" s="310"/>
      <c r="K170" s="310"/>
      <c r="L170" s="310"/>
      <c r="M170" s="178"/>
      <c r="N170" s="178"/>
      <c r="O170" s="178"/>
      <c r="P170" s="178"/>
      <c r="Q170" s="178"/>
      <c r="R170" s="178"/>
    </row>
    <row r="171" spans="1:18" ht="12.75" x14ac:dyDescent="0.2">
      <c r="A171" s="713">
        <v>1650</v>
      </c>
      <c r="B171" s="233" t="s">
        <v>2351</v>
      </c>
      <c r="C171" s="310">
        <v>729400000</v>
      </c>
      <c r="D171" s="310">
        <v>0</v>
      </c>
      <c r="E171" s="310">
        <f t="shared" si="13"/>
        <v>729400000</v>
      </c>
      <c r="F171" s="711"/>
      <c r="G171" s="310"/>
      <c r="H171" s="310"/>
      <c r="I171" s="310"/>
      <c r="J171" s="310"/>
      <c r="K171" s="310"/>
      <c r="L171" s="310"/>
      <c r="M171" s="178"/>
      <c r="N171" s="178"/>
      <c r="O171" s="178"/>
      <c r="P171" s="178"/>
      <c r="Q171" s="178"/>
      <c r="R171" s="178"/>
    </row>
    <row r="172" spans="1:18" ht="12.75" x14ac:dyDescent="0.2">
      <c r="A172" s="713">
        <v>1700</v>
      </c>
      <c r="B172" s="233" t="s">
        <v>2795</v>
      </c>
      <c r="C172" s="310">
        <v>-25777613</v>
      </c>
      <c r="D172" s="310">
        <v>0</v>
      </c>
      <c r="E172" s="310">
        <f t="shared" si="13"/>
        <v>-25777613</v>
      </c>
      <c r="F172" s="711"/>
      <c r="G172" s="310"/>
      <c r="H172" s="310"/>
      <c r="I172" s="310"/>
      <c r="J172" s="310"/>
      <c r="K172" s="310"/>
      <c r="L172" s="310"/>
      <c r="M172" s="178"/>
      <c r="N172" s="178"/>
      <c r="O172" s="178"/>
      <c r="P172" s="178"/>
      <c r="Q172" s="178"/>
      <c r="R172" s="178"/>
    </row>
    <row r="173" spans="1:18" ht="12.75" x14ac:dyDescent="0.2">
      <c r="A173" s="713">
        <v>1800</v>
      </c>
      <c r="B173" s="233" t="s">
        <v>1488</v>
      </c>
      <c r="C173" s="310">
        <v>228700000</v>
      </c>
      <c r="D173" s="310">
        <v>0</v>
      </c>
      <c r="E173" s="310">
        <f t="shared" si="13"/>
        <v>228700000</v>
      </c>
      <c r="F173" s="711"/>
      <c r="G173" s="310"/>
      <c r="H173" s="310"/>
      <c r="I173" s="310"/>
      <c r="J173" s="310"/>
      <c r="K173" s="310"/>
      <c r="L173" s="310"/>
      <c r="M173" s="178"/>
      <c r="N173" s="178"/>
      <c r="O173" s="178"/>
      <c r="P173" s="178"/>
      <c r="Q173" s="178"/>
      <c r="R173" s="178"/>
    </row>
    <row r="174" spans="1:18" ht="12.75" x14ac:dyDescent="0.2">
      <c r="A174" s="713">
        <v>1900</v>
      </c>
      <c r="B174" s="233" t="s">
        <v>2352</v>
      </c>
      <c r="C174" s="310">
        <v>-172116185.00999999</v>
      </c>
      <c r="D174" s="310">
        <v>0</v>
      </c>
      <c r="E174" s="310">
        <f t="shared" si="13"/>
        <v>-172116185.00999999</v>
      </c>
      <c r="F174" s="711"/>
      <c r="G174" s="310"/>
      <c r="H174" s="310"/>
      <c r="I174" s="310"/>
      <c r="J174" s="310"/>
      <c r="K174" s="310"/>
      <c r="L174" s="310"/>
      <c r="M174" s="178"/>
      <c r="N174" s="178"/>
      <c r="O174" s="178"/>
      <c r="P174" s="178"/>
      <c r="Q174" s="178"/>
      <c r="R174" s="178"/>
    </row>
    <row r="175" spans="1:18" ht="12.75" x14ac:dyDescent="0.2">
      <c r="A175" s="233"/>
      <c r="B175" s="233"/>
      <c r="C175" s="310"/>
      <c r="D175" s="310"/>
      <c r="E175" s="310"/>
      <c r="F175" s="711"/>
      <c r="G175" s="310"/>
      <c r="H175" s="310"/>
      <c r="I175" s="310"/>
      <c r="J175" s="310"/>
      <c r="K175" s="310"/>
      <c r="L175" s="310"/>
      <c r="M175" s="178"/>
      <c r="N175" s="178"/>
      <c r="O175" s="178"/>
      <c r="P175" s="178"/>
      <c r="Q175" s="178"/>
      <c r="R175" s="178"/>
    </row>
    <row r="176" spans="1:18" ht="13.5" thickBot="1" x14ac:dyDescent="0.25">
      <c r="A176" s="233"/>
      <c r="B176" s="724" t="s">
        <v>2796</v>
      </c>
      <c r="C176" s="724">
        <f>SUM(C168:C175)</f>
        <v>1007654530.3</v>
      </c>
      <c r="D176" s="724">
        <f>SUM(D168:D175)</f>
        <v>0</v>
      </c>
      <c r="E176" s="724">
        <f>SUM(E168:E175)</f>
        <v>1007654530.3</v>
      </c>
      <c r="F176" s="711"/>
      <c r="G176" s="310"/>
      <c r="H176" s="310"/>
      <c r="I176" s="310"/>
      <c r="J176" s="310"/>
      <c r="K176" s="310"/>
      <c r="L176" s="310"/>
      <c r="M176" s="178"/>
      <c r="N176" s="178"/>
      <c r="O176" s="178"/>
      <c r="P176" s="178"/>
      <c r="Q176" s="178"/>
      <c r="R176" s="178"/>
    </row>
    <row r="177" spans="1:17" x14ac:dyDescent="0.25">
      <c r="A177" s="233"/>
      <c r="B177" s="233"/>
      <c r="C177" s="310"/>
      <c r="D177" s="310"/>
      <c r="E177" s="310"/>
      <c r="F177" s="711"/>
      <c r="G177" s="310"/>
      <c r="H177" s="310"/>
      <c r="I177" s="310"/>
      <c r="J177" s="310"/>
      <c r="K177" s="310"/>
      <c r="L177" s="310"/>
    </row>
    <row r="178" spans="1:17" x14ac:dyDescent="0.25">
      <c r="A178" s="233"/>
      <c r="B178" s="233"/>
      <c r="C178" s="310"/>
      <c r="D178" s="310"/>
      <c r="E178" s="310" t="s">
        <v>468</v>
      </c>
      <c r="F178" s="711"/>
      <c r="G178" s="310"/>
      <c r="H178" s="310"/>
      <c r="I178" s="310"/>
      <c r="J178" s="310"/>
      <c r="K178" s="310"/>
      <c r="L178" s="310"/>
    </row>
    <row r="179" spans="1:17" ht="15.75" thickBot="1" x14ac:dyDescent="0.3">
      <c r="A179" s="233"/>
      <c r="B179" s="725" t="s">
        <v>1706</v>
      </c>
      <c r="C179" s="724">
        <f>C166+C176</f>
        <v>13005861429.93</v>
      </c>
      <c r="D179" s="724">
        <f>D166+D176</f>
        <v>3209478447.9000006</v>
      </c>
      <c r="E179" s="724">
        <f>E166+E176</f>
        <v>9796382982.0299988</v>
      </c>
      <c r="F179" s="711"/>
      <c r="G179" s="724">
        <f t="shared" ref="G179:L179" si="14">G166</f>
        <v>6236159940.7700014</v>
      </c>
      <c r="H179" s="724">
        <f t="shared" si="14"/>
        <v>5897868952.3399992</v>
      </c>
      <c r="I179" s="724">
        <f t="shared" si="14"/>
        <v>12134028893.110003</v>
      </c>
      <c r="J179" s="724">
        <f t="shared" si="14"/>
        <v>3209478447.9000006</v>
      </c>
      <c r="K179" s="724">
        <f t="shared" si="14"/>
        <v>1805100248.4200001</v>
      </c>
      <c r="L179" s="724">
        <f t="shared" si="14"/>
        <v>7119450196.789999</v>
      </c>
    </row>
    <row r="180" spans="1:17" x14ac:dyDescent="0.25">
      <c r="A180" s="233"/>
      <c r="B180" s="233"/>
      <c r="C180" s="310"/>
      <c r="D180" s="310"/>
      <c r="E180" s="310"/>
      <c r="F180" s="711"/>
      <c r="G180" s="310"/>
      <c r="H180" s="310"/>
      <c r="I180" s="310"/>
      <c r="J180" s="310"/>
      <c r="K180" s="226"/>
      <c r="L180" s="310"/>
    </row>
    <row r="181" spans="1:17" x14ac:dyDescent="0.25">
      <c r="A181" s="743"/>
      <c r="B181" s="20"/>
      <c r="C181" s="224"/>
      <c r="D181" s="744"/>
      <c r="E181" s="224"/>
      <c r="F181" s="225"/>
      <c r="G181" s="226"/>
      <c r="H181" s="226"/>
      <c r="I181" s="744"/>
      <c r="J181" s="224"/>
      <c r="K181" s="224"/>
      <c r="L181" s="224" t="s">
        <v>468</v>
      </c>
    </row>
    <row r="182" spans="1:17" x14ac:dyDescent="0.25">
      <c r="A182" s="743"/>
      <c r="B182" s="745"/>
      <c r="C182" s="224"/>
      <c r="D182" s="224"/>
      <c r="E182" s="739"/>
      <c r="F182" s="225"/>
      <c r="G182" s="226"/>
      <c r="H182" s="746"/>
      <c r="I182" s="746"/>
      <c r="J182" s="226"/>
      <c r="K182" s="226"/>
      <c r="L182" s="226"/>
    </row>
    <row r="183" spans="1:17" x14ac:dyDescent="0.25">
      <c r="A183" s="743">
        <v>1461</v>
      </c>
      <c r="B183" s="745" t="s">
        <v>1489</v>
      </c>
      <c r="C183" s="739">
        <v>359482276.44999999</v>
      </c>
      <c r="D183" s="747">
        <v>86556061.950000003</v>
      </c>
      <c r="E183" s="739">
        <f t="shared" ref="E183:E189" si="15">C183-D183</f>
        <v>272926214.5</v>
      </c>
      <c r="F183" s="225"/>
      <c r="G183" s="739">
        <v>398768986.94999999</v>
      </c>
      <c r="H183" s="746">
        <v>4823321.450000003</v>
      </c>
      <c r="I183" s="746">
        <f t="shared" ref="I183:I189" si="16">G183+H183</f>
        <v>403592308.39999998</v>
      </c>
      <c r="J183" s="739">
        <f t="shared" ref="J183:J189" si="17">D183</f>
        <v>86556061.950000003</v>
      </c>
      <c r="K183" s="746">
        <v>29295051.449999999</v>
      </c>
      <c r="L183" s="746">
        <f t="shared" ref="L183:L189" si="18">I183-J183-K183</f>
        <v>287741195</v>
      </c>
      <c r="M183" s="714">
        <f t="shared" ref="M183:M189" si="19">C183-D183-K183</f>
        <v>243631163.05000001</v>
      </c>
    </row>
    <row r="184" spans="1:17" x14ac:dyDescent="0.25">
      <c r="A184" s="743">
        <v>1526</v>
      </c>
      <c r="B184" s="745" t="s">
        <v>1130</v>
      </c>
      <c r="C184" s="739">
        <v>758344759.00999999</v>
      </c>
      <c r="D184" s="747">
        <v>195938487.68000001</v>
      </c>
      <c r="E184" s="739">
        <f t="shared" si="15"/>
        <v>562406271.32999992</v>
      </c>
      <c r="F184" s="225"/>
      <c r="G184" s="739">
        <v>730713882.56999969</v>
      </c>
      <c r="H184" s="746">
        <v>254160388.43000036</v>
      </c>
      <c r="I184" s="746">
        <f>G184+H184</f>
        <v>984874271</v>
      </c>
      <c r="J184" s="739">
        <f>D184</f>
        <v>195938487.68000001</v>
      </c>
      <c r="K184" s="746">
        <v>38270889.799999997</v>
      </c>
      <c r="L184" s="746">
        <f t="shared" si="18"/>
        <v>750664893.51999998</v>
      </c>
      <c r="M184" s="714">
        <f t="shared" si="19"/>
        <v>524135381.52999991</v>
      </c>
    </row>
    <row r="185" spans="1:17" x14ac:dyDescent="0.25">
      <c r="A185" s="743">
        <v>1815</v>
      </c>
      <c r="B185" s="745" t="s">
        <v>2797</v>
      </c>
      <c r="C185" s="739">
        <v>0</v>
      </c>
      <c r="D185" s="747">
        <v>0</v>
      </c>
      <c r="E185" s="739">
        <f t="shared" si="15"/>
        <v>0</v>
      </c>
      <c r="F185" s="225"/>
      <c r="G185" s="739">
        <v>1642140368.5153334</v>
      </c>
      <c r="H185" s="746">
        <v>212392308.48466653</v>
      </c>
      <c r="I185" s="746">
        <f t="shared" si="16"/>
        <v>1854532677</v>
      </c>
      <c r="J185" s="739">
        <f t="shared" si="17"/>
        <v>0</v>
      </c>
      <c r="K185" s="746">
        <v>0</v>
      </c>
      <c r="L185" s="746">
        <f t="shared" si="18"/>
        <v>1854532677</v>
      </c>
      <c r="M185" s="714">
        <f t="shared" si="19"/>
        <v>0</v>
      </c>
    </row>
    <row r="186" spans="1:17" x14ac:dyDescent="0.25">
      <c r="A186" s="743"/>
      <c r="B186" s="745" t="s">
        <v>1490</v>
      </c>
      <c r="C186" s="739">
        <v>250000000</v>
      </c>
      <c r="D186" s="747">
        <v>98859902.939999998</v>
      </c>
      <c r="E186" s="739">
        <f t="shared" si="15"/>
        <v>151140097.06</v>
      </c>
      <c r="F186" s="225"/>
      <c r="G186" s="739">
        <v>1626275446.0233331</v>
      </c>
      <c r="H186" s="746">
        <v>526098214.88666683</v>
      </c>
      <c r="I186" s="746">
        <f t="shared" si="16"/>
        <v>2152373660.9099998</v>
      </c>
      <c r="J186" s="739">
        <f t="shared" si="17"/>
        <v>98859902.939999998</v>
      </c>
      <c r="K186" s="746">
        <v>68850270.090000004</v>
      </c>
      <c r="L186" s="746">
        <f t="shared" si="18"/>
        <v>1984663487.8799999</v>
      </c>
      <c r="M186" s="714">
        <f t="shared" si="19"/>
        <v>82289826.969999999</v>
      </c>
    </row>
    <row r="187" spans="1:17" x14ac:dyDescent="0.25">
      <c r="A187" s="743">
        <v>5815</v>
      </c>
      <c r="B187" s="745" t="s">
        <v>1131</v>
      </c>
      <c r="C187" s="739">
        <v>1286429703.45</v>
      </c>
      <c r="D187" s="747">
        <v>0</v>
      </c>
      <c r="E187" s="739">
        <f t="shared" si="15"/>
        <v>1286429703.45</v>
      </c>
      <c r="F187" s="225"/>
      <c r="G187" s="739">
        <v>1148175152.198</v>
      </c>
      <c r="H187" s="746">
        <v>252625029.382</v>
      </c>
      <c r="I187" s="746">
        <f t="shared" si="16"/>
        <v>1400800181.5799999</v>
      </c>
      <c r="J187" s="739">
        <f t="shared" si="17"/>
        <v>0</v>
      </c>
      <c r="K187" s="746">
        <v>0</v>
      </c>
      <c r="L187" s="746">
        <f t="shared" si="18"/>
        <v>1400800181.5799999</v>
      </c>
      <c r="M187" s="714">
        <f t="shared" si="19"/>
        <v>1286429703.45</v>
      </c>
    </row>
    <row r="188" spans="1:17" x14ac:dyDescent="0.25">
      <c r="A188" s="748" t="s">
        <v>1132</v>
      </c>
      <c r="B188" s="749" t="s">
        <v>151</v>
      </c>
      <c r="C188" s="739">
        <v>1223731345.8900001</v>
      </c>
      <c r="D188" s="747">
        <v>267373816.30000001</v>
      </c>
      <c r="E188" s="750">
        <f t="shared" si="15"/>
        <v>956357529.59000015</v>
      </c>
      <c r="F188" s="225"/>
      <c r="G188" s="750">
        <v>830720041.93333364</v>
      </c>
      <c r="H188" s="751">
        <v>724967759.99666643</v>
      </c>
      <c r="I188" s="751">
        <f t="shared" si="16"/>
        <v>1555687801.9300001</v>
      </c>
      <c r="J188" s="739">
        <f t="shared" si="17"/>
        <v>267373816.30000001</v>
      </c>
      <c r="K188" s="751">
        <v>66648098.060000002</v>
      </c>
      <c r="L188" s="751">
        <f t="shared" si="18"/>
        <v>1221665887.5700002</v>
      </c>
      <c r="M188" s="714">
        <f t="shared" si="19"/>
        <v>889709431.53000021</v>
      </c>
    </row>
    <row r="189" spans="1:17" x14ac:dyDescent="0.25">
      <c r="A189" s="748"/>
      <c r="B189" s="749" t="s">
        <v>4137</v>
      </c>
      <c r="C189" s="739">
        <v>3871511915.1999998</v>
      </c>
      <c r="D189" s="747">
        <v>0</v>
      </c>
      <c r="E189" s="750">
        <f t="shared" si="15"/>
        <v>3871511915.1999998</v>
      </c>
      <c r="F189" s="225"/>
      <c r="G189" s="750">
        <v>0</v>
      </c>
      <c r="H189" s="751">
        <v>0</v>
      </c>
      <c r="I189" s="751">
        <f t="shared" si="16"/>
        <v>0</v>
      </c>
      <c r="J189" s="739">
        <f t="shared" si="17"/>
        <v>0</v>
      </c>
      <c r="K189" s="751">
        <v>0</v>
      </c>
      <c r="L189" s="751">
        <f t="shared" si="18"/>
        <v>0</v>
      </c>
      <c r="M189" s="714">
        <f t="shared" si="19"/>
        <v>3871511915.1999998</v>
      </c>
    </row>
    <row r="190" spans="1:17" x14ac:dyDescent="0.25">
      <c r="A190" s="743"/>
      <c r="B190" s="745"/>
      <c r="C190" s="739"/>
      <c r="D190" s="739" t="s">
        <v>468</v>
      </c>
      <c r="E190" s="739"/>
      <c r="F190" s="225"/>
      <c r="G190" s="746"/>
      <c r="H190" s="746"/>
      <c r="I190" s="746"/>
      <c r="J190" s="746"/>
      <c r="K190" s="746"/>
      <c r="L190" s="746"/>
    </row>
    <row r="191" spans="1:17" ht="15.75" thickBot="1" x14ac:dyDescent="0.3">
      <c r="A191" s="743"/>
      <c r="B191" s="726" t="s">
        <v>1491</v>
      </c>
      <c r="C191" s="727">
        <f>SUM(C183:C189)</f>
        <v>7749500000</v>
      </c>
      <c r="D191" s="727">
        <f>SUM(D183:D189)</f>
        <v>648728268.87</v>
      </c>
      <c r="E191" s="727">
        <f>SUM(E183:E189)</f>
        <v>7100771731.1300001</v>
      </c>
      <c r="F191" s="225"/>
      <c r="G191" s="727">
        <f t="shared" ref="G191:L191" si="20">SUM(G183:G189)</f>
        <v>6376793878.1899996</v>
      </c>
      <c r="H191" s="727">
        <f t="shared" si="20"/>
        <v>1975067022.6300001</v>
      </c>
      <c r="I191" s="727">
        <f t="shared" si="20"/>
        <v>8351860900.8199997</v>
      </c>
      <c r="J191" s="727">
        <f t="shared" si="20"/>
        <v>648728268.87</v>
      </c>
      <c r="K191" s="727">
        <f t="shared" si="20"/>
        <v>203064309.40000001</v>
      </c>
      <c r="L191" s="727">
        <f t="shared" si="20"/>
        <v>7500068322.5499992</v>
      </c>
      <c r="M191" s="714">
        <f>C191-D191-K191</f>
        <v>6897707421.7300005</v>
      </c>
    </row>
    <row r="192" spans="1:17" s="740" customFormat="1" x14ac:dyDescent="0.25">
      <c r="A192" s="743"/>
      <c r="B192" s="745"/>
      <c r="C192" s="739"/>
      <c r="D192" s="739"/>
      <c r="E192" s="739" t="s">
        <v>468</v>
      </c>
      <c r="F192" s="752"/>
      <c r="G192" s="746"/>
      <c r="H192" s="746"/>
      <c r="I192" s="746"/>
      <c r="J192" s="746"/>
      <c r="K192" s="746"/>
      <c r="L192" s="746"/>
      <c r="M192" s="714"/>
      <c r="N192" s="222"/>
      <c r="O192" s="222"/>
      <c r="P192" s="223"/>
      <c r="Q192" s="222"/>
    </row>
    <row r="193" spans="1:17" s="740" customFormat="1" x14ac:dyDescent="0.25">
      <c r="A193" s="743"/>
      <c r="B193" s="20" t="s">
        <v>4138</v>
      </c>
      <c r="C193" s="739"/>
      <c r="D193" s="739"/>
      <c r="E193" s="739"/>
      <c r="F193" s="752"/>
      <c r="G193" s="746"/>
      <c r="H193" s="746"/>
      <c r="I193" s="746"/>
      <c r="J193" s="746"/>
      <c r="K193" s="746"/>
      <c r="L193" s="746" t="s">
        <v>468</v>
      </c>
      <c r="M193" s="714"/>
      <c r="N193" s="222"/>
      <c r="O193" s="222"/>
      <c r="P193" s="223"/>
      <c r="Q193" s="222"/>
    </row>
    <row r="194" spans="1:17" s="740" customFormat="1" x14ac:dyDescent="0.25">
      <c r="A194" s="743"/>
      <c r="B194" s="745"/>
      <c r="C194" s="739"/>
      <c r="D194" s="739"/>
      <c r="E194" s="739"/>
      <c r="F194" s="752"/>
      <c r="G194" s="746"/>
      <c r="H194" s="746"/>
      <c r="I194" s="746"/>
      <c r="J194" s="746"/>
      <c r="K194" s="746"/>
      <c r="L194" s="746"/>
      <c r="M194" s="714"/>
      <c r="N194" s="222"/>
      <c r="O194" s="222"/>
      <c r="P194" s="223"/>
      <c r="Q194" s="222"/>
    </row>
    <row r="195" spans="1:17" x14ac:dyDescent="0.25">
      <c r="A195" s="743">
        <v>6000</v>
      </c>
      <c r="B195" s="745" t="s">
        <v>1492</v>
      </c>
      <c r="C195" s="739">
        <v>2352664758.6199999</v>
      </c>
      <c r="D195" s="739">
        <v>946243110.65999997</v>
      </c>
      <c r="E195" s="739">
        <f t="shared" ref="E195:E202" si="21">+C195-D195</f>
        <v>1406421647.96</v>
      </c>
      <c r="F195" s="225"/>
      <c r="G195" s="746">
        <v>1414581159.9999995</v>
      </c>
      <c r="H195" s="739">
        <v>534737223.46499997</v>
      </c>
      <c r="I195" s="746">
        <f t="shared" ref="I195:I202" si="22">+H195+G195</f>
        <v>1949318383.4649994</v>
      </c>
      <c r="J195" s="739">
        <f t="shared" ref="J195:J202" si="23">D195</f>
        <v>946243110.65999997</v>
      </c>
      <c r="K195" s="746">
        <v>127469114.05</v>
      </c>
      <c r="L195" s="751">
        <f t="shared" ref="L195:L202" si="24">I195-J195-K195</f>
        <v>875606158.75499952</v>
      </c>
      <c r="M195" s="714">
        <f>C195-D195-K195</f>
        <v>1278952533.9100001</v>
      </c>
    </row>
    <row r="196" spans="1:17" x14ac:dyDescent="0.25">
      <c r="A196" s="743">
        <v>6300</v>
      </c>
      <c r="B196" s="745" t="s">
        <v>1493</v>
      </c>
      <c r="C196" s="739">
        <v>289782077.06999999</v>
      </c>
      <c r="D196" s="739">
        <v>77751540.599999994</v>
      </c>
      <c r="E196" s="739">
        <f t="shared" si="21"/>
        <v>212030536.47</v>
      </c>
      <c r="F196" s="225"/>
      <c r="G196" s="746">
        <v>10286011.844761901</v>
      </c>
      <c r="H196" s="739">
        <v>159899807.06999999</v>
      </c>
      <c r="I196" s="746">
        <f t="shared" si="22"/>
        <v>170185818.9147619</v>
      </c>
      <c r="J196" s="739">
        <f t="shared" si="23"/>
        <v>77751540.599999994</v>
      </c>
      <c r="K196" s="746">
        <v>8785224.6199999992</v>
      </c>
      <c r="L196" s="751">
        <f t="shared" si="24"/>
        <v>83649053.694761902</v>
      </c>
      <c r="M196" s="714">
        <f t="shared" ref="M196:M204" si="25">C196-D196-K196</f>
        <v>203245311.84999999</v>
      </c>
    </row>
    <row r="197" spans="1:17" x14ac:dyDescent="0.25">
      <c r="A197" s="743">
        <v>6600</v>
      </c>
      <c r="B197" s="745" t="s">
        <v>1494</v>
      </c>
      <c r="C197" s="739">
        <v>310453490.39999998</v>
      </c>
      <c r="D197" s="739">
        <v>7265175.2699999996</v>
      </c>
      <c r="E197" s="739">
        <f t="shared" si="21"/>
        <v>303188315.13</v>
      </c>
      <c r="F197" s="225"/>
      <c r="G197" s="746">
        <v>118927420.49240002</v>
      </c>
      <c r="H197" s="739">
        <v>159953450.90000001</v>
      </c>
      <c r="I197" s="746">
        <f t="shared" si="22"/>
        <v>278880871.39240003</v>
      </c>
      <c r="J197" s="739">
        <f t="shared" si="23"/>
        <v>7265175.2699999996</v>
      </c>
      <c r="K197" s="746">
        <v>4548222.28</v>
      </c>
      <c r="L197" s="751">
        <f t="shared" si="24"/>
        <v>267067473.84240004</v>
      </c>
      <c r="M197" s="714">
        <f t="shared" si="25"/>
        <v>298640092.85000002</v>
      </c>
    </row>
    <row r="198" spans="1:17" x14ac:dyDescent="0.25">
      <c r="A198" s="743">
        <v>6900</v>
      </c>
      <c r="B198" s="745" t="s">
        <v>1495</v>
      </c>
      <c r="C198" s="739">
        <v>291450900</v>
      </c>
      <c r="D198" s="739">
        <v>169838439.59999999</v>
      </c>
      <c r="E198" s="739">
        <f t="shared" si="21"/>
        <v>121612460.40000001</v>
      </c>
      <c r="F198" s="225"/>
      <c r="G198" s="746">
        <v>37477004.209999979</v>
      </c>
      <c r="H198" s="739">
        <v>163047896.28999999</v>
      </c>
      <c r="I198" s="746">
        <f t="shared" si="22"/>
        <v>200524900.49999997</v>
      </c>
      <c r="J198" s="739">
        <f t="shared" si="23"/>
        <v>169838439.59999999</v>
      </c>
      <c r="K198" s="746">
        <v>31248000</v>
      </c>
      <c r="L198" s="751">
        <f t="shared" si="24"/>
        <v>-561539.10000002384</v>
      </c>
      <c r="M198" s="714">
        <f>C198-D198-K198</f>
        <v>90364460.400000006</v>
      </c>
    </row>
    <row r="199" spans="1:17" x14ac:dyDescent="0.25">
      <c r="A199" s="743">
        <v>7100</v>
      </c>
      <c r="B199" s="745" t="s">
        <v>1496</v>
      </c>
      <c r="C199" s="739">
        <v>160474546.43000001</v>
      </c>
      <c r="D199" s="739">
        <v>54052291.009999998</v>
      </c>
      <c r="E199" s="739">
        <f t="shared" si="21"/>
        <v>106422255.42000002</v>
      </c>
      <c r="F199" s="225"/>
      <c r="G199" s="746">
        <v>71824154.74999997</v>
      </c>
      <c r="H199" s="739">
        <v>92022071.430000007</v>
      </c>
      <c r="I199" s="746">
        <f t="shared" si="22"/>
        <v>163846226.17999998</v>
      </c>
      <c r="J199" s="739">
        <f t="shared" si="23"/>
        <v>54052291.009999998</v>
      </c>
      <c r="K199" s="746">
        <v>18764799.43</v>
      </c>
      <c r="L199" s="751">
        <f t="shared" si="24"/>
        <v>91029135.73999998</v>
      </c>
      <c r="M199" s="714">
        <f t="shared" si="25"/>
        <v>87657455.99000001</v>
      </c>
    </row>
    <row r="200" spans="1:17" x14ac:dyDescent="0.25">
      <c r="A200" s="743">
        <v>7300</v>
      </c>
      <c r="B200" s="745" t="s">
        <v>1497</v>
      </c>
      <c r="C200" s="739">
        <v>3610491208.4200001</v>
      </c>
      <c r="D200" s="739">
        <v>149979335.62</v>
      </c>
      <c r="E200" s="739">
        <f t="shared" si="21"/>
        <v>3460511872.8000002</v>
      </c>
      <c r="F200" s="225"/>
      <c r="G200" s="746">
        <v>2216713547.7799988</v>
      </c>
      <c r="H200" s="739">
        <v>1263849792.6500001</v>
      </c>
      <c r="I200" s="746">
        <f t="shared" si="22"/>
        <v>3480563340.4299989</v>
      </c>
      <c r="J200" s="739">
        <f t="shared" si="23"/>
        <v>149979335.62</v>
      </c>
      <c r="K200" s="746">
        <v>489270948.39999998</v>
      </c>
      <c r="L200" s="751">
        <f t="shared" si="24"/>
        <v>2841313056.4099989</v>
      </c>
      <c r="M200" s="714">
        <f t="shared" si="25"/>
        <v>2971240924.4000001</v>
      </c>
    </row>
    <row r="201" spans="1:17" x14ac:dyDescent="0.25">
      <c r="A201" s="743">
        <v>7500</v>
      </c>
      <c r="B201" s="745" t="s">
        <v>1498</v>
      </c>
      <c r="C201" s="739">
        <v>51561823.329999998</v>
      </c>
      <c r="D201" s="739">
        <v>41777995.43</v>
      </c>
      <c r="E201" s="739">
        <f t="shared" si="21"/>
        <v>9783827.8999999985</v>
      </c>
      <c r="F201" s="225"/>
      <c r="G201" s="746">
        <v>230929847.37000006</v>
      </c>
      <c r="H201" s="753">
        <v>63561823.329999998</v>
      </c>
      <c r="I201" s="746">
        <f t="shared" si="22"/>
        <v>294491670.70000005</v>
      </c>
      <c r="J201" s="739">
        <f t="shared" si="23"/>
        <v>41777995.43</v>
      </c>
      <c r="K201" s="746">
        <v>40388953.450000003</v>
      </c>
      <c r="L201" s="751">
        <f t="shared" si="24"/>
        <v>212324721.82000005</v>
      </c>
      <c r="M201" s="714">
        <f t="shared" si="25"/>
        <v>-30605125.550000004</v>
      </c>
    </row>
    <row r="202" spans="1:17" x14ac:dyDescent="0.25">
      <c r="A202" s="743">
        <v>7600</v>
      </c>
      <c r="B202" s="745" t="s">
        <v>1707</v>
      </c>
      <c r="C202" s="739">
        <v>3034549</v>
      </c>
      <c r="D202" s="739">
        <v>0</v>
      </c>
      <c r="E202" s="739">
        <f t="shared" si="21"/>
        <v>3034549</v>
      </c>
      <c r="F202" s="225"/>
      <c r="G202" s="746">
        <v>-28734834.349999905</v>
      </c>
      <c r="H202" s="746">
        <v>3034549</v>
      </c>
      <c r="I202" s="746">
        <f t="shared" si="22"/>
        <v>-25700285.349999905</v>
      </c>
      <c r="J202" s="739">
        <f t="shared" si="23"/>
        <v>0</v>
      </c>
      <c r="K202" s="739">
        <v>3034549</v>
      </c>
      <c r="L202" s="751">
        <f t="shared" si="24"/>
        <v>-28734834.349999905</v>
      </c>
      <c r="M202" s="714">
        <f t="shared" si="25"/>
        <v>0</v>
      </c>
    </row>
    <row r="203" spans="1:17" x14ac:dyDescent="0.25">
      <c r="A203" s="743"/>
      <c r="B203" s="754"/>
      <c r="C203" s="227"/>
      <c r="D203" s="224"/>
      <c r="E203" s="224"/>
      <c r="F203" s="225"/>
      <c r="G203" s="746"/>
      <c r="H203" s="746"/>
      <c r="I203" s="746"/>
      <c r="J203" s="746"/>
      <c r="K203" s="746"/>
      <c r="L203" s="746"/>
    </row>
    <row r="204" spans="1:17" ht="15.75" thickBot="1" x14ac:dyDescent="0.3">
      <c r="A204" s="743"/>
      <c r="B204" s="726" t="s">
        <v>590</v>
      </c>
      <c r="C204" s="727">
        <f>SUM(C195:C202)</f>
        <v>7069913353.2700005</v>
      </c>
      <c r="D204" s="727">
        <f>SUM(D195:D202)</f>
        <v>1446907888.1899998</v>
      </c>
      <c r="E204" s="727">
        <f>SUM(E195:E202)</f>
        <v>5623005465.0799999</v>
      </c>
      <c r="F204" s="225"/>
      <c r="G204" s="728">
        <f t="shared" ref="G204:L204" si="26">SUM(G195:G202)</f>
        <v>4072004312.0971599</v>
      </c>
      <c r="H204" s="728">
        <f t="shared" si="26"/>
        <v>2440106614.1350002</v>
      </c>
      <c r="I204" s="728">
        <f t="shared" si="26"/>
        <v>6512110926.2321606</v>
      </c>
      <c r="J204" s="728">
        <f t="shared" si="26"/>
        <v>1446907888.1899998</v>
      </c>
      <c r="K204" s="728">
        <f t="shared" si="26"/>
        <v>723509811.23000002</v>
      </c>
      <c r="L204" s="728">
        <f t="shared" si="26"/>
        <v>4341693226.8121605</v>
      </c>
      <c r="M204" s="714">
        <f t="shared" si="25"/>
        <v>4899495653.8500004</v>
      </c>
      <c r="O204" s="222">
        <v>0</v>
      </c>
    </row>
    <row r="205" spans="1:17" x14ac:dyDescent="0.25">
      <c r="A205" s="743"/>
      <c r="B205" s="729"/>
      <c r="C205" s="47"/>
      <c r="D205" s="47"/>
      <c r="E205" s="47" t="s">
        <v>468</v>
      </c>
      <c r="F205" s="225"/>
      <c r="G205" s="25"/>
      <c r="H205" s="25"/>
      <c r="I205" s="25"/>
      <c r="J205" s="25"/>
      <c r="K205" s="25"/>
      <c r="L205" s="25" t="s">
        <v>468</v>
      </c>
      <c r="O205" s="222">
        <v>1668056351.8399999</v>
      </c>
    </row>
    <row r="206" spans="1:17" x14ac:dyDescent="0.25">
      <c r="A206" s="743"/>
      <c r="B206" s="729" t="s">
        <v>4139</v>
      </c>
      <c r="C206" s="47"/>
      <c r="D206" s="47"/>
      <c r="E206" s="47"/>
      <c r="F206" s="225"/>
      <c r="G206" s="25"/>
      <c r="H206" s="25"/>
      <c r="I206" s="25"/>
      <c r="J206" s="25"/>
      <c r="K206" s="25"/>
      <c r="L206" s="25"/>
      <c r="O206" s="222">
        <v>33333641.25</v>
      </c>
    </row>
    <row r="207" spans="1:17" x14ac:dyDescent="0.25">
      <c r="A207" s="743"/>
      <c r="B207" s="755"/>
      <c r="C207" s="47"/>
      <c r="D207" s="47"/>
      <c r="E207" s="47"/>
      <c r="F207" s="225"/>
      <c r="G207" s="25"/>
      <c r="H207" s="25"/>
      <c r="I207" s="25"/>
      <c r="J207" s="25"/>
      <c r="K207" s="25"/>
      <c r="L207" s="25"/>
      <c r="O207" s="714">
        <f>SUM(O204:O206)</f>
        <v>1701389993.0899999</v>
      </c>
    </row>
    <row r="208" spans="1:17" x14ac:dyDescent="0.25">
      <c r="A208" s="743" t="s">
        <v>2261</v>
      </c>
      <c r="B208" s="755" t="s">
        <v>2262</v>
      </c>
      <c r="C208" s="753">
        <v>5487161.29</v>
      </c>
      <c r="D208" s="753">
        <v>0</v>
      </c>
      <c r="E208" s="739">
        <f>+C208-D208</f>
        <v>5487161.29</v>
      </c>
      <c r="F208" s="225"/>
      <c r="G208" s="751">
        <v>-102600452.3620995</v>
      </c>
      <c r="H208" s="739">
        <v>120776046.70913419</v>
      </c>
      <c r="I208" s="746">
        <f>+H208+G208</f>
        <v>18175594.347034693</v>
      </c>
      <c r="J208" s="739">
        <f>D208</f>
        <v>0</v>
      </c>
      <c r="K208" s="739">
        <v>0</v>
      </c>
      <c r="L208" s="751">
        <f>I208-J208-K208</f>
        <v>18175594.347034693</v>
      </c>
      <c r="M208" s="714">
        <f>C208-D208-K208</f>
        <v>5487161.29</v>
      </c>
      <c r="N208" s="222">
        <v>120000000</v>
      </c>
      <c r="O208" s="228">
        <f>O207*P208/100</f>
        <v>776046.70913419186</v>
      </c>
      <c r="P208" s="223">
        <f>C208*100/C214</f>
        <v>4.5612511669048041E-2</v>
      </c>
      <c r="Q208" s="222">
        <f>N208+O208</f>
        <v>120776046.70913419</v>
      </c>
    </row>
    <row r="209" spans="1:18" x14ac:dyDescent="0.25">
      <c r="A209" s="743" t="s">
        <v>2263</v>
      </c>
      <c r="B209" s="755" t="s">
        <v>2264</v>
      </c>
      <c r="C209" s="753">
        <v>2106736233</v>
      </c>
      <c r="D209" s="753">
        <v>456332802.5</v>
      </c>
      <c r="E209" s="739">
        <f>+C209-D209</f>
        <v>1650403430.5</v>
      </c>
      <c r="F209" s="225"/>
      <c r="G209" s="751">
        <v>-421039547.6653775</v>
      </c>
      <c r="H209" s="739">
        <v>747954740.93552923</v>
      </c>
      <c r="I209" s="746">
        <f>+H209+G209</f>
        <v>326915193.27015173</v>
      </c>
      <c r="J209" s="739">
        <f>D209</f>
        <v>456332802.5</v>
      </c>
      <c r="K209" s="739">
        <v>130593474.44</v>
      </c>
      <c r="L209" s="751">
        <f>I209-J209-K209</f>
        <v>-260011083.66984826</v>
      </c>
      <c r="M209" s="714">
        <f t="shared" ref="M209:M214" si="27">C209-D209-K209</f>
        <v>1519809956.0599999</v>
      </c>
      <c r="N209" s="222">
        <v>450000000</v>
      </c>
      <c r="O209" s="228">
        <f>O207*P209/100</f>
        <v>297954740.93552917</v>
      </c>
      <c r="P209" s="223">
        <f>C209*100/C214</f>
        <v>17.512430550646126</v>
      </c>
      <c r="Q209" s="222">
        <f>N209+O209</f>
        <v>747954740.93552923</v>
      </c>
      <c r="R209" s="178"/>
    </row>
    <row r="210" spans="1:18" x14ac:dyDescent="0.25">
      <c r="A210" s="743" t="s">
        <v>2265</v>
      </c>
      <c r="B210" s="755" t="s">
        <v>2266</v>
      </c>
      <c r="C210" s="753">
        <v>109704480</v>
      </c>
      <c r="D210" s="753">
        <v>52275836.009999998</v>
      </c>
      <c r="E210" s="739">
        <f>+C210-D210</f>
        <v>57428643.990000002</v>
      </c>
      <c r="F210" s="225"/>
      <c r="G210" s="751">
        <v>-74358633.904961318</v>
      </c>
      <c r="H210" s="739">
        <v>100515454.38192828</v>
      </c>
      <c r="I210" s="746">
        <f>+H210+G210</f>
        <v>26156820.476966962</v>
      </c>
      <c r="J210" s="739">
        <f>D210</f>
        <v>52275836.009999998</v>
      </c>
      <c r="K210" s="739">
        <v>132823319.63</v>
      </c>
      <c r="L210" s="751">
        <f>I210-J210-K210</f>
        <v>-158942335.16303304</v>
      </c>
      <c r="M210" s="714">
        <f t="shared" si="27"/>
        <v>-75394675.639999986</v>
      </c>
      <c r="N210" s="222">
        <v>85000000</v>
      </c>
      <c r="O210" s="228">
        <f>O207*P210/100</f>
        <v>15515454.381928284</v>
      </c>
      <c r="P210" s="223">
        <f>C210*100/C214</f>
        <v>0.91192815550476503</v>
      </c>
      <c r="Q210" s="222">
        <f>N210+O210</f>
        <v>100515454.38192828</v>
      </c>
      <c r="R210" s="178"/>
    </row>
    <row r="211" spans="1:18" x14ac:dyDescent="0.25">
      <c r="A211" s="743" t="s">
        <v>2267</v>
      </c>
      <c r="B211" s="755" t="s">
        <v>2268</v>
      </c>
      <c r="C211" s="753">
        <v>503085350.19999999</v>
      </c>
      <c r="D211" s="753">
        <v>27296129.600000001</v>
      </c>
      <c r="E211" s="739">
        <f>+C211-D211</f>
        <v>475789220.59999996</v>
      </c>
      <c r="F211" s="225"/>
      <c r="G211" s="751">
        <v>304139120.48756891</v>
      </c>
      <c r="H211" s="739">
        <v>71151130.758238092</v>
      </c>
      <c r="I211" s="746">
        <f>+H211+G211</f>
        <v>375290251.24580699</v>
      </c>
      <c r="J211" s="739">
        <f>D211</f>
        <v>27296129.600000001</v>
      </c>
      <c r="K211" s="739">
        <v>0</v>
      </c>
      <c r="L211" s="751">
        <f>I211-J211-K211</f>
        <v>347994121.64580697</v>
      </c>
      <c r="M211" s="714">
        <f t="shared" si="27"/>
        <v>475789220.59999996</v>
      </c>
      <c r="N211" s="222">
        <v>0</v>
      </c>
      <c r="O211" s="228">
        <f>O207*P211/100</f>
        <v>71151130.758238092</v>
      </c>
      <c r="P211" s="223">
        <f>C211*100/C214</f>
        <v>4.18194129783355</v>
      </c>
      <c r="Q211" s="222">
        <f>N211+O211</f>
        <v>71151130.758238092</v>
      </c>
      <c r="R211" s="178"/>
    </row>
    <row r="212" spans="1:18" x14ac:dyDescent="0.25">
      <c r="A212" s="743" t="s">
        <v>2269</v>
      </c>
      <c r="B212" s="755" t="s">
        <v>2270</v>
      </c>
      <c r="C212" s="753">
        <v>9304934457</v>
      </c>
      <c r="D212" s="753">
        <v>1786479599.8499999</v>
      </c>
      <c r="E212" s="739">
        <f>+C212-D212</f>
        <v>7518454857.1499996</v>
      </c>
      <c r="F212" s="225"/>
      <c r="G212" s="751">
        <v>-2091522007.8451307</v>
      </c>
      <c r="H212" s="739">
        <v>3807825351.2151699</v>
      </c>
      <c r="I212" s="746">
        <f>+H212+G212</f>
        <v>1716303343.3700392</v>
      </c>
      <c r="J212" s="739">
        <f>D212</f>
        <v>1786479599.8499999</v>
      </c>
      <c r="K212" s="739">
        <v>6487745385.4200001</v>
      </c>
      <c r="L212" s="751">
        <f>I212-J212-K212</f>
        <v>-6557921641.8999605</v>
      </c>
      <c r="M212" s="714">
        <f t="shared" si="27"/>
        <v>1030709471.7299995</v>
      </c>
      <c r="N212" s="222">
        <v>2491832730.9099998</v>
      </c>
      <c r="O212" s="228">
        <f>O207*P212/100</f>
        <v>1315992620.3051701</v>
      </c>
      <c r="P212" s="223">
        <f>C212*100/C214</f>
        <v>77.348087484346507</v>
      </c>
      <c r="Q212" s="222">
        <f>N212+O212</f>
        <v>3807825351.2151699</v>
      </c>
      <c r="R212" s="178"/>
    </row>
    <row r="213" spans="1:18" x14ac:dyDescent="0.25">
      <c r="A213" s="743"/>
      <c r="B213" s="755"/>
      <c r="C213" s="753"/>
      <c r="D213" s="753"/>
      <c r="E213" s="47"/>
      <c r="F213" s="225"/>
      <c r="G213" s="25"/>
      <c r="H213" s="25"/>
      <c r="I213" s="25"/>
      <c r="J213" s="25"/>
      <c r="K213" s="25"/>
      <c r="L213" s="25"/>
      <c r="O213" s="228"/>
      <c r="R213" s="178"/>
    </row>
    <row r="214" spans="1:18" ht="15.75" thickBot="1" x14ac:dyDescent="0.3">
      <c r="A214" s="756"/>
      <c r="B214" s="757" t="s">
        <v>2271</v>
      </c>
      <c r="C214" s="758">
        <f>SUM(C208:C213)</f>
        <v>12029947681.49</v>
      </c>
      <c r="D214" s="758">
        <f>SUM(D208:D213)</f>
        <v>2322384367.96</v>
      </c>
      <c r="E214" s="758">
        <f>SUM(E208:E213)</f>
        <v>9707563313.5299988</v>
      </c>
      <c r="F214" s="759"/>
      <c r="G214" s="758">
        <f t="shared" ref="G214:L214" si="28">SUM(G208:G213)</f>
        <v>-2385381521.29</v>
      </c>
      <c r="H214" s="758">
        <f t="shared" si="28"/>
        <v>4848222724</v>
      </c>
      <c r="I214" s="758">
        <f>SUM(I208:I213)</f>
        <v>2462841202.7099996</v>
      </c>
      <c r="J214" s="758">
        <f t="shared" si="28"/>
        <v>2322384367.96</v>
      </c>
      <c r="K214" s="758">
        <f t="shared" si="28"/>
        <v>6751162179.4899998</v>
      </c>
      <c r="L214" s="758">
        <f t="shared" si="28"/>
        <v>-6610705344.7399998</v>
      </c>
      <c r="M214" s="714">
        <f t="shared" si="27"/>
        <v>2956401134.039999</v>
      </c>
      <c r="N214" s="228">
        <f>SUM(N208:N212)</f>
        <v>3146832730.9099998</v>
      </c>
      <c r="O214" s="228">
        <f>SUM(O208:O212)</f>
        <v>1701389993.0899997</v>
      </c>
      <c r="P214" s="223">
        <f>SUM(P208:P213)</f>
        <v>100</v>
      </c>
      <c r="Q214" s="222">
        <f>SUM(Q208:Q212)</f>
        <v>4848222724</v>
      </c>
      <c r="R214" s="178"/>
    </row>
    <row r="215" spans="1:18" x14ac:dyDescent="0.25">
      <c r="A215" s="760"/>
      <c r="B215" s="754"/>
      <c r="C215" s="753"/>
      <c r="D215" s="753"/>
      <c r="E215" s="753" t="s">
        <v>468</v>
      </c>
      <c r="F215" s="225"/>
      <c r="G215" s="761"/>
      <c r="H215" s="761"/>
      <c r="I215" s="25"/>
      <c r="J215" s="761"/>
      <c r="K215" s="761"/>
      <c r="L215" s="761" t="s">
        <v>468</v>
      </c>
      <c r="R215" s="178"/>
    </row>
    <row r="216" spans="1:18" ht="15.75" thickBot="1" x14ac:dyDescent="0.3">
      <c r="A216" s="730"/>
      <c r="B216" s="730" t="s">
        <v>53</v>
      </c>
      <c r="C216" s="727">
        <f>+C179+C191+C204+C214</f>
        <v>39855222464.690002</v>
      </c>
      <c r="D216" s="727">
        <f>+D179+D191+D204+D214</f>
        <v>7627498972.9200001</v>
      </c>
      <c r="E216" s="727">
        <f>+E179+E191+E204+E214</f>
        <v>32227723491.769997</v>
      </c>
      <c r="F216" s="759"/>
      <c r="G216" s="727">
        <f t="shared" ref="G216:L216" si="29">+G179+G191+G204+G214</f>
        <v>14299576609.767162</v>
      </c>
      <c r="H216" s="727">
        <f t="shared" si="29"/>
        <v>15161265313.105</v>
      </c>
      <c r="I216" s="727">
        <f t="shared" si="29"/>
        <v>29460841922.872162</v>
      </c>
      <c r="J216" s="727">
        <f t="shared" si="29"/>
        <v>7627498972.9200001</v>
      </c>
      <c r="K216" s="727">
        <f>+K179+K191+K204+K214</f>
        <v>9482836548.5400009</v>
      </c>
      <c r="L216" s="727">
        <f t="shared" si="29"/>
        <v>12350506401.412161</v>
      </c>
      <c r="N216" s="222">
        <f>-G214</f>
        <v>2385381521.29</v>
      </c>
      <c r="R216" s="178"/>
    </row>
    <row r="217" spans="1:18" x14ac:dyDescent="0.25">
      <c r="A217" s="743"/>
      <c r="B217" s="745"/>
      <c r="C217" s="224"/>
      <c r="D217" s="224"/>
      <c r="E217" s="224"/>
      <c r="F217" s="224"/>
      <c r="G217" s="226"/>
      <c r="H217" s="226"/>
      <c r="I217" s="746"/>
      <c r="J217" s="746"/>
      <c r="K217" s="746"/>
      <c r="L217" s="746"/>
      <c r="N217" s="222">
        <v>761451209.62</v>
      </c>
      <c r="R217" s="178"/>
    </row>
    <row r="218" spans="1:18" x14ac:dyDescent="0.25">
      <c r="A218" s="731" t="s">
        <v>468</v>
      </c>
      <c r="B218" s="732" t="s">
        <v>468</v>
      </c>
      <c r="C218" s="739"/>
      <c r="D218" s="224"/>
      <c r="E218" s="224"/>
      <c r="F218" s="224"/>
      <c r="G218" s="226"/>
      <c r="H218" s="226" t="s">
        <v>468</v>
      </c>
      <c r="I218" s="588" t="s">
        <v>251</v>
      </c>
      <c r="J218" s="746"/>
      <c r="K218" s="739"/>
      <c r="L218" s="19">
        <f>+L216</f>
        <v>12350506401.412161</v>
      </c>
      <c r="N218" s="222">
        <f>N216+N217</f>
        <v>3146832730.9099998</v>
      </c>
      <c r="R218" s="178"/>
    </row>
    <row r="219" spans="1:18" x14ac:dyDescent="0.25">
      <c r="A219" s="743"/>
      <c r="B219" s="745"/>
      <c r="C219" s="739"/>
      <c r="D219" s="224"/>
      <c r="E219" s="224"/>
      <c r="F219" s="224"/>
      <c r="G219" s="746"/>
      <c r="H219" s="226"/>
      <c r="I219" s="588"/>
      <c r="J219" s="746"/>
      <c r="K219" s="19"/>
      <c r="L219" s="746"/>
      <c r="N219" s="222">
        <f>N214-N218</f>
        <v>0</v>
      </c>
      <c r="R219" s="178"/>
    </row>
    <row r="220" spans="1:18" x14ac:dyDescent="0.25">
      <c r="A220" s="762"/>
      <c r="B220" s="745"/>
      <c r="C220" s="739"/>
      <c r="D220" s="224"/>
      <c r="E220" s="224" t="s">
        <v>468</v>
      </c>
      <c r="F220" s="224"/>
      <c r="G220" s="226"/>
      <c r="H220" s="226"/>
      <c r="I220" s="588" t="s">
        <v>3578</v>
      </c>
      <c r="J220" s="746"/>
      <c r="K220" s="19"/>
      <c r="L220" s="733">
        <f>+K216</f>
        <v>9482836548.5400009</v>
      </c>
      <c r="R220" s="178"/>
    </row>
    <row r="221" spans="1:18" x14ac:dyDescent="0.25">
      <c r="A221" s="21"/>
      <c r="B221" s="745"/>
      <c r="C221" s="739"/>
      <c r="D221" s="224"/>
      <c r="E221" s="224"/>
      <c r="F221" s="224"/>
      <c r="G221" s="226"/>
      <c r="H221" s="226"/>
      <c r="I221" s="588"/>
      <c r="J221" s="746"/>
      <c r="K221" s="746"/>
      <c r="L221" s="19"/>
      <c r="R221" s="178"/>
    </row>
    <row r="222" spans="1:18" ht="15.75" thickBot="1" x14ac:dyDescent="0.3">
      <c r="A222" s="21"/>
      <c r="B222" s="745"/>
      <c r="C222" s="739"/>
      <c r="D222" s="224"/>
      <c r="E222" s="224"/>
      <c r="F222" s="224"/>
      <c r="G222" s="226"/>
      <c r="H222" s="226"/>
      <c r="I222" s="588" t="s">
        <v>4173</v>
      </c>
      <c r="J222" s="746"/>
      <c r="K222" s="746"/>
      <c r="L222" s="734">
        <f>+L218+L220</f>
        <v>21833342949.952164</v>
      </c>
      <c r="R222" s="178"/>
    </row>
    <row r="223" spans="1:18" ht="15.75" thickTop="1" x14ac:dyDescent="0.25">
      <c r="A223" s="743"/>
      <c r="B223" s="745"/>
      <c r="C223" s="739"/>
      <c r="D223" s="229"/>
      <c r="E223" s="229"/>
      <c r="F223" s="229"/>
      <c r="G223" s="230"/>
      <c r="H223" s="746"/>
      <c r="I223" s="746"/>
      <c r="J223" s="746"/>
      <c r="K223" s="746"/>
      <c r="L223" s="746" t="s">
        <v>468</v>
      </c>
      <c r="R223" s="178"/>
    </row>
    <row r="224" spans="1:18" x14ac:dyDescent="0.25">
      <c r="C224" s="763"/>
      <c r="H224" s="3"/>
      <c r="L224" s="3" t="s">
        <v>468</v>
      </c>
      <c r="R224" s="178"/>
    </row>
    <row r="225" spans="1:18" x14ac:dyDescent="0.25">
      <c r="A225" s="178"/>
      <c r="C225" s="763"/>
      <c r="H225" s="3"/>
      <c r="M225" s="178"/>
      <c r="N225" s="178"/>
      <c r="O225" s="178"/>
      <c r="P225" s="178"/>
      <c r="Q225" s="178"/>
      <c r="R225" s="178"/>
    </row>
    <row r="226" spans="1:18" ht="12.75" x14ac:dyDescent="0.2">
      <c r="A226" s="178"/>
      <c r="M226" s="178"/>
      <c r="N226" s="178"/>
      <c r="O226" s="178"/>
      <c r="P226" s="178"/>
      <c r="Q226" s="178"/>
      <c r="R226" s="178"/>
    </row>
    <row r="227" spans="1:18" ht="12.75" x14ac:dyDescent="0.2">
      <c r="A227" s="178"/>
      <c r="M227" s="178"/>
      <c r="N227" s="178"/>
      <c r="O227" s="178"/>
      <c r="P227" s="178"/>
      <c r="Q227" s="178"/>
      <c r="R227" s="178"/>
    </row>
    <row r="228" spans="1:18" ht="12.75" x14ac:dyDescent="0.2">
      <c r="A228" s="178"/>
      <c r="M228" s="178"/>
      <c r="N228" s="178"/>
      <c r="O228" s="178"/>
      <c r="P228" s="178"/>
      <c r="Q228" s="178"/>
      <c r="R228" s="178"/>
    </row>
    <row r="229" spans="1:18" ht="12.75" x14ac:dyDescent="0.2">
      <c r="A229" s="178"/>
      <c r="M229" s="178"/>
      <c r="N229" s="178"/>
      <c r="O229" s="178"/>
      <c r="P229" s="178"/>
      <c r="Q229" s="178"/>
      <c r="R229" s="178"/>
    </row>
    <row r="230" spans="1:18" ht="12.75" x14ac:dyDescent="0.2">
      <c r="A230" s="178"/>
      <c r="M230" s="178"/>
      <c r="N230" s="178"/>
      <c r="O230" s="178"/>
      <c r="P230" s="178"/>
      <c r="Q230" s="178"/>
      <c r="R230" s="178"/>
    </row>
    <row r="231" spans="1:18" ht="12.75" x14ac:dyDescent="0.2">
      <c r="A231" s="178"/>
      <c r="M231" s="178"/>
      <c r="N231" s="178"/>
      <c r="O231" s="178"/>
      <c r="P231" s="178"/>
      <c r="Q231" s="178"/>
      <c r="R231" s="178"/>
    </row>
    <row r="232" spans="1:18" ht="12.75" x14ac:dyDescent="0.2">
      <c r="A232" s="178"/>
      <c r="M232" s="178"/>
      <c r="N232" s="178"/>
      <c r="O232" s="178"/>
      <c r="P232" s="178"/>
      <c r="Q232" s="178"/>
      <c r="R232" s="178"/>
    </row>
    <row r="233" spans="1:18" ht="12.75" x14ac:dyDescent="0.2">
      <c r="A233" s="178"/>
      <c r="M233" s="178"/>
      <c r="N233" s="178"/>
      <c r="O233" s="178"/>
      <c r="P233" s="178"/>
      <c r="Q233" s="178"/>
      <c r="R233" s="178"/>
    </row>
    <row r="234" spans="1:18" ht="12.75" x14ac:dyDescent="0.2">
      <c r="A234" s="178"/>
      <c r="M234" s="178"/>
      <c r="N234" s="178"/>
      <c r="O234" s="178"/>
      <c r="P234" s="178"/>
      <c r="Q234" s="178"/>
      <c r="R234" s="178"/>
    </row>
    <row r="235" spans="1:18" ht="12.75" x14ac:dyDescent="0.2">
      <c r="A235" s="178"/>
      <c r="M235" s="178"/>
      <c r="N235" s="178"/>
      <c r="O235" s="178"/>
      <c r="P235" s="178"/>
      <c r="Q235" s="178"/>
      <c r="R235" s="178"/>
    </row>
    <row r="236" spans="1:18" ht="12.75" x14ac:dyDescent="0.2">
      <c r="A236" s="178"/>
      <c r="M236" s="178"/>
      <c r="N236" s="178"/>
      <c r="O236" s="178"/>
      <c r="P236" s="178"/>
      <c r="Q236" s="178"/>
      <c r="R236" s="178"/>
    </row>
    <row r="237" spans="1:18" ht="12.75" x14ac:dyDescent="0.2">
      <c r="A237" s="178"/>
      <c r="M237" s="178"/>
      <c r="N237" s="178"/>
      <c r="O237" s="178"/>
      <c r="P237" s="178"/>
      <c r="Q237" s="178"/>
      <c r="R237" s="178"/>
    </row>
    <row r="238" spans="1:18" ht="12.75" x14ac:dyDescent="0.2">
      <c r="A238" s="178"/>
      <c r="M238" s="178"/>
      <c r="N238" s="178"/>
      <c r="O238" s="178"/>
      <c r="P238" s="178"/>
      <c r="Q238" s="178"/>
      <c r="R238" s="178"/>
    </row>
  </sheetData>
  <mergeCells count="2">
    <mergeCell ref="A1:F1"/>
    <mergeCell ref="G1:L1"/>
  </mergeCells>
  <phoneticPr fontId="0" type="noConversion"/>
  <pageMargins left="0.82677165354330717" right="0.39370078740157483" top="1.1023622047244095" bottom="0.59055118110236227" header="0.27559055118110237" footer="0.39370078740157483"/>
  <pageSetup paperSize="9" scale="50" firstPageNumber="49" fitToHeight="0" orientation="landscape" r:id="rId1"/>
  <headerFooter alignWithMargins="0">
    <oddHeader>&amp;C&amp;"Arial Negrita,Negrita"&amp;K000000UNIVERSIDAD DE COSTA RICA
VICERRECTORÍA DE ADMINISTRACIÓN
OFICINA DE ADMINISTRACIÓN FINANCIERA
ESTADO GENERAL POR UNIDAD
PROYECTOS DEL VÍNCULO EXTERNO
FONDOS RESTRINGIDOS
Al 30 de junio de 2017
Expresado en colones</oddHeader>
    <oddFooter>&amp;C&amp;P</oddFooter>
  </headerFooter>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9"/>
  <sheetViews>
    <sheetView workbookViewId="0">
      <selection activeCell="D17" sqref="D17"/>
    </sheetView>
  </sheetViews>
  <sheetFormatPr baseColWidth="10" defaultRowHeight="12.75" x14ac:dyDescent="0.2"/>
  <sheetData>
    <row r="19" spans="1:1" x14ac:dyDescent="0.2">
      <c r="A19" s="2"/>
    </row>
  </sheetData>
  <phoneticPr fontId="0" type="noConversion"/>
  <printOptions horizontalCentered="1" verticalCentered="1"/>
  <pageMargins left="1.3779527559055118" right="0.74803149606299213" top="0" bottom="0.98425196850393704" header="0" footer="0"/>
  <pageSetup firstPageNumber="47"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G9" sqref="G9"/>
    </sheetView>
  </sheetViews>
  <sheetFormatPr baseColWidth="10" defaultColWidth="10.85546875" defaultRowHeight="12.75" x14ac:dyDescent="0.2"/>
  <cols>
    <col min="1" max="16384" width="10.85546875" style="178"/>
  </cols>
  <sheetData/>
  <printOptions horizontalCentered="1" verticalCentered="1"/>
  <pageMargins left="0.98425196850393704" right="0.74803149606299213" top="1.3385826771653544" bottom="0.98425196850393704" header="0" footer="0"/>
  <pageSetup paperSize="9" scale="95"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G20" sqref="G20"/>
    </sheetView>
  </sheetViews>
  <sheetFormatPr baseColWidth="10" defaultRowHeight="12.75" x14ac:dyDescent="0.2"/>
  <sheetData/>
  <phoneticPr fontId="0" type="noConversion"/>
  <printOptions horizontalCentered="1" verticalCentered="1"/>
  <pageMargins left="1.1417322834645669" right="0.74803149606299213" top="1.5354330708661419" bottom="0.98425196850393704" header="0" footer="0"/>
  <pageSetup paperSize="9" scale="95"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46"/>
  <sheetViews>
    <sheetView topLeftCell="A15" workbookViewId="0">
      <selection activeCell="A45" sqref="A45:C45"/>
    </sheetView>
  </sheetViews>
  <sheetFormatPr baseColWidth="10" defaultRowHeight="14.25" x14ac:dyDescent="0.2"/>
  <cols>
    <col min="1" max="1" width="55.140625" style="5" customWidth="1"/>
    <col min="2" max="2" width="2.5703125" style="5" customWidth="1"/>
    <col min="3" max="3" width="23.140625" style="13" customWidth="1"/>
    <col min="4" max="4" width="6.28515625" style="957" customWidth="1"/>
    <col min="5" max="5" width="11.42578125" style="794"/>
    <col min="6" max="251" width="11.42578125" style="5"/>
    <col min="252" max="252" width="24.5703125" style="5" customWidth="1"/>
    <col min="253" max="253" width="7.5703125" style="5" customWidth="1"/>
    <col min="254" max="254" width="20.42578125" style="5" customWidth="1"/>
    <col min="255" max="255" width="2.5703125" style="5" customWidth="1"/>
    <col min="256" max="256" width="18.42578125" style="5" customWidth="1"/>
    <col min="257" max="257" width="10.7109375" style="5" bestFit="1" customWidth="1"/>
    <col min="258" max="258" width="4.140625" style="5" customWidth="1"/>
    <col min="259" max="259" width="18.28515625" style="5" customWidth="1"/>
    <col min="260" max="260" width="3" style="5" customWidth="1"/>
    <col min="261" max="507" width="11.42578125" style="5"/>
    <col min="508" max="508" width="24.5703125" style="5" customWidth="1"/>
    <col min="509" max="509" width="7.5703125" style="5" customWidth="1"/>
    <col min="510" max="510" width="20.42578125" style="5" customWidth="1"/>
    <col min="511" max="511" width="2.5703125" style="5" customWidth="1"/>
    <col min="512" max="512" width="18.42578125" style="5" customWidth="1"/>
    <col min="513" max="513" width="10.7109375" style="5" bestFit="1" customWidth="1"/>
    <col min="514" max="514" width="4.140625" style="5" customWidth="1"/>
    <col min="515" max="515" width="18.28515625" style="5" customWidth="1"/>
    <col min="516" max="516" width="3" style="5" customWidth="1"/>
    <col min="517" max="763" width="11.42578125" style="5"/>
    <col min="764" max="764" width="24.5703125" style="5" customWidth="1"/>
    <col min="765" max="765" width="7.5703125" style="5" customWidth="1"/>
    <col min="766" max="766" width="20.42578125" style="5" customWidth="1"/>
    <col min="767" max="767" width="2.5703125" style="5" customWidth="1"/>
    <col min="768" max="768" width="18.42578125" style="5" customWidth="1"/>
    <col min="769" max="769" width="10.7109375" style="5" bestFit="1" customWidth="1"/>
    <col min="770" max="770" width="4.140625" style="5" customWidth="1"/>
    <col min="771" max="771" width="18.28515625" style="5" customWidth="1"/>
    <col min="772" max="772" width="3" style="5" customWidth="1"/>
    <col min="773" max="1019" width="11.42578125" style="5"/>
    <col min="1020" max="1020" width="24.5703125" style="5" customWidth="1"/>
    <col min="1021" max="1021" width="7.5703125" style="5" customWidth="1"/>
    <col min="1022" max="1022" width="20.42578125" style="5" customWidth="1"/>
    <col min="1023" max="1023" width="2.5703125" style="5" customWidth="1"/>
    <col min="1024" max="1024" width="18.42578125" style="5" customWidth="1"/>
    <col min="1025" max="1025" width="10.7109375" style="5" bestFit="1" customWidth="1"/>
    <col min="1026" max="1026" width="4.140625" style="5" customWidth="1"/>
    <col min="1027" max="1027" width="18.28515625" style="5" customWidth="1"/>
    <col min="1028" max="1028" width="3" style="5" customWidth="1"/>
    <col min="1029" max="1275" width="11.42578125" style="5"/>
    <col min="1276" max="1276" width="24.5703125" style="5" customWidth="1"/>
    <col min="1277" max="1277" width="7.5703125" style="5" customWidth="1"/>
    <col min="1278" max="1278" width="20.42578125" style="5" customWidth="1"/>
    <col min="1279" max="1279" width="2.5703125" style="5" customWidth="1"/>
    <col min="1280" max="1280" width="18.42578125" style="5" customWidth="1"/>
    <col min="1281" max="1281" width="10.7109375" style="5" bestFit="1" customWidth="1"/>
    <col min="1282" max="1282" width="4.140625" style="5" customWidth="1"/>
    <col min="1283" max="1283" width="18.28515625" style="5" customWidth="1"/>
    <col min="1284" max="1284" width="3" style="5" customWidth="1"/>
    <col min="1285" max="1531" width="11.42578125" style="5"/>
    <col min="1532" max="1532" width="24.5703125" style="5" customWidth="1"/>
    <col min="1533" max="1533" width="7.5703125" style="5" customWidth="1"/>
    <col min="1534" max="1534" width="20.42578125" style="5" customWidth="1"/>
    <col min="1535" max="1535" width="2.5703125" style="5" customWidth="1"/>
    <col min="1536" max="1536" width="18.42578125" style="5" customWidth="1"/>
    <col min="1537" max="1537" width="10.7109375" style="5" bestFit="1" customWidth="1"/>
    <col min="1538" max="1538" width="4.140625" style="5" customWidth="1"/>
    <col min="1539" max="1539" width="18.28515625" style="5" customWidth="1"/>
    <col min="1540" max="1540" width="3" style="5" customWidth="1"/>
    <col min="1541" max="1787" width="11.42578125" style="5"/>
    <col min="1788" max="1788" width="24.5703125" style="5" customWidth="1"/>
    <col min="1789" max="1789" width="7.5703125" style="5" customWidth="1"/>
    <col min="1790" max="1790" width="20.42578125" style="5" customWidth="1"/>
    <col min="1791" max="1791" width="2.5703125" style="5" customWidth="1"/>
    <col min="1792" max="1792" width="18.42578125" style="5" customWidth="1"/>
    <col min="1793" max="1793" width="10.7109375" style="5" bestFit="1" customWidth="1"/>
    <col min="1794" max="1794" width="4.140625" style="5" customWidth="1"/>
    <col min="1795" max="1795" width="18.28515625" style="5" customWidth="1"/>
    <col min="1796" max="1796" width="3" style="5" customWidth="1"/>
    <col min="1797" max="2043" width="11.42578125" style="5"/>
    <col min="2044" max="2044" width="24.5703125" style="5" customWidth="1"/>
    <col min="2045" max="2045" width="7.5703125" style="5" customWidth="1"/>
    <col min="2046" max="2046" width="20.42578125" style="5" customWidth="1"/>
    <col min="2047" max="2047" width="2.5703125" style="5" customWidth="1"/>
    <col min="2048" max="2048" width="18.42578125" style="5" customWidth="1"/>
    <col min="2049" max="2049" width="10.7109375" style="5" bestFit="1" customWidth="1"/>
    <col min="2050" max="2050" width="4.140625" style="5" customWidth="1"/>
    <col min="2051" max="2051" width="18.28515625" style="5" customWidth="1"/>
    <col min="2052" max="2052" width="3" style="5" customWidth="1"/>
    <col min="2053" max="2299" width="11.42578125" style="5"/>
    <col min="2300" max="2300" width="24.5703125" style="5" customWidth="1"/>
    <col min="2301" max="2301" width="7.5703125" style="5" customWidth="1"/>
    <col min="2302" max="2302" width="20.42578125" style="5" customWidth="1"/>
    <col min="2303" max="2303" width="2.5703125" style="5" customWidth="1"/>
    <col min="2304" max="2304" width="18.42578125" style="5" customWidth="1"/>
    <col min="2305" max="2305" width="10.7109375" style="5" bestFit="1" customWidth="1"/>
    <col min="2306" max="2306" width="4.140625" style="5" customWidth="1"/>
    <col min="2307" max="2307" width="18.28515625" style="5" customWidth="1"/>
    <col min="2308" max="2308" width="3" style="5" customWidth="1"/>
    <col min="2309" max="2555" width="11.42578125" style="5"/>
    <col min="2556" max="2556" width="24.5703125" style="5" customWidth="1"/>
    <col min="2557" max="2557" width="7.5703125" style="5" customWidth="1"/>
    <col min="2558" max="2558" width="20.42578125" style="5" customWidth="1"/>
    <col min="2559" max="2559" width="2.5703125" style="5" customWidth="1"/>
    <col min="2560" max="2560" width="18.42578125" style="5" customWidth="1"/>
    <col min="2561" max="2561" width="10.7109375" style="5" bestFit="1" customWidth="1"/>
    <col min="2562" max="2562" width="4.140625" style="5" customWidth="1"/>
    <col min="2563" max="2563" width="18.28515625" style="5" customWidth="1"/>
    <col min="2564" max="2564" width="3" style="5" customWidth="1"/>
    <col min="2565" max="2811" width="11.42578125" style="5"/>
    <col min="2812" max="2812" width="24.5703125" style="5" customWidth="1"/>
    <col min="2813" max="2813" width="7.5703125" style="5" customWidth="1"/>
    <col min="2814" max="2814" width="20.42578125" style="5" customWidth="1"/>
    <col min="2815" max="2815" width="2.5703125" style="5" customWidth="1"/>
    <col min="2816" max="2816" width="18.42578125" style="5" customWidth="1"/>
    <col min="2817" max="2817" width="10.7109375" style="5" bestFit="1" customWidth="1"/>
    <col min="2818" max="2818" width="4.140625" style="5" customWidth="1"/>
    <col min="2819" max="2819" width="18.28515625" style="5" customWidth="1"/>
    <col min="2820" max="2820" width="3" style="5" customWidth="1"/>
    <col min="2821" max="3067" width="11.42578125" style="5"/>
    <col min="3068" max="3068" width="24.5703125" style="5" customWidth="1"/>
    <col min="3069" max="3069" width="7.5703125" style="5" customWidth="1"/>
    <col min="3070" max="3070" width="20.42578125" style="5" customWidth="1"/>
    <col min="3071" max="3071" width="2.5703125" style="5" customWidth="1"/>
    <col min="3072" max="3072" width="18.42578125" style="5" customWidth="1"/>
    <col min="3073" max="3073" width="10.7109375" style="5" bestFit="1" customWidth="1"/>
    <col min="3074" max="3074" width="4.140625" style="5" customWidth="1"/>
    <col min="3075" max="3075" width="18.28515625" style="5" customWidth="1"/>
    <col min="3076" max="3076" width="3" style="5" customWidth="1"/>
    <col min="3077" max="3323" width="11.42578125" style="5"/>
    <col min="3324" max="3324" width="24.5703125" style="5" customWidth="1"/>
    <col min="3325" max="3325" width="7.5703125" style="5" customWidth="1"/>
    <col min="3326" max="3326" width="20.42578125" style="5" customWidth="1"/>
    <col min="3327" max="3327" width="2.5703125" style="5" customWidth="1"/>
    <col min="3328" max="3328" width="18.42578125" style="5" customWidth="1"/>
    <col min="3329" max="3329" width="10.7109375" style="5" bestFit="1" customWidth="1"/>
    <col min="3330" max="3330" width="4.140625" style="5" customWidth="1"/>
    <col min="3331" max="3331" width="18.28515625" style="5" customWidth="1"/>
    <col min="3332" max="3332" width="3" style="5" customWidth="1"/>
    <col min="3333" max="3579" width="11.42578125" style="5"/>
    <col min="3580" max="3580" width="24.5703125" style="5" customWidth="1"/>
    <col min="3581" max="3581" width="7.5703125" style="5" customWidth="1"/>
    <col min="3582" max="3582" width="20.42578125" style="5" customWidth="1"/>
    <col min="3583" max="3583" width="2.5703125" style="5" customWidth="1"/>
    <col min="3584" max="3584" width="18.42578125" style="5" customWidth="1"/>
    <col min="3585" max="3585" width="10.7109375" style="5" bestFit="1" customWidth="1"/>
    <col min="3586" max="3586" width="4.140625" style="5" customWidth="1"/>
    <col min="3587" max="3587" width="18.28515625" style="5" customWidth="1"/>
    <col min="3588" max="3588" width="3" style="5" customWidth="1"/>
    <col min="3589" max="3835" width="11.42578125" style="5"/>
    <col min="3836" max="3836" width="24.5703125" style="5" customWidth="1"/>
    <col min="3837" max="3837" width="7.5703125" style="5" customWidth="1"/>
    <col min="3838" max="3838" width="20.42578125" style="5" customWidth="1"/>
    <col min="3839" max="3839" width="2.5703125" style="5" customWidth="1"/>
    <col min="3840" max="3840" width="18.42578125" style="5" customWidth="1"/>
    <col min="3841" max="3841" width="10.7109375" style="5" bestFit="1" customWidth="1"/>
    <col min="3842" max="3842" width="4.140625" style="5" customWidth="1"/>
    <col min="3843" max="3843" width="18.28515625" style="5" customWidth="1"/>
    <col min="3844" max="3844" width="3" style="5" customWidth="1"/>
    <col min="3845" max="4091" width="11.42578125" style="5"/>
    <col min="4092" max="4092" width="24.5703125" style="5" customWidth="1"/>
    <col min="4093" max="4093" width="7.5703125" style="5" customWidth="1"/>
    <col min="4094" max="4094" width="20.42578125" style="5" customWidth="1"/>
    <col min="4095" max="4095" width="2.5703125" style="5" customWidth="1"/>
    <col min="4096" max="4096" width="18.42578125" style="5" customWidth="1"/>
    <col min="4097" max="4097" width="10.7109375" style="5" bestFit="1" customWidth="1"/>
    <col min="4098" max="4098" width="4.140625" style="5" customWidth="1"/>
    <col min="4099" max="4099" width="18.28515625" style="5" customWidth="1"/>
    <col min="4100" max="4100" width="3" style="5" customWidth="1"/>
    <col min="4101" max="4347" width="11.42578125" style="5"/>
    <col min="4348" max="4348" width="24.5703125" style="5" customWidth="1"/>
    <col min="4349" max="4349" width="7.5703125" style="5" customWidth="1"/>
    <col min="4350" max="4350" width="20.42578125" style="5" customWidth="1"/>
    <col min="4351" max="4351" width="2.5703125" style="5" customWidth="1"/>
    <col min="4352" max="4352" width="18.42578125" style="5" customWidth="1"/>
    <col min="4353" max="4353" width="10.7109375" style="5" bestFit="1" customWidth="1"/>
    <col min="4354" max="4354" width="4.140625" style="5" customWidth="1"/>
    <col min="4355" max="4355" width="18.28515625" style="5" customWidth="1"/>
    <col min="4356" max="4356" width="3" style="5" customWidth="1"/>
    <col min="4357" max="4603" width="11.42578125" style="5"/>
    <col min="4604" max="4604" width="24.5703125" style="5" customWidth="1"/>
    <col min="4605" max="4605" width="7.5703125" style="5" customWidth="1"/>
    <col min="4606" max="4606" width="20.42578125" style="5" customWidth="1"/>
    <col min="4607" max="4607" width="2.5703125" style="5" customWidth="1"/>
    <col min="4608" max="4608" width="18.42578125" style="5" customWidth="1"/>
    <col min="4609" max="4609" width="10.7109375" style="5" bestFit="1" customWidth="1"/>
    <col min="4610" max="4610" width="4.140625" style="5" customWidth="1"/>
    <col min="4611" max="4611" width="18.28515625" style="5" customWidth="1"/>
    <col min="4612" max="4612" width="3" style="5" customWidth="1"/>
    <col min="4613" max="4859" width="11.42578125" style="5"/>
    <col min="4860" max="4860" width="24.5703125" style="5" customWidth="1"/>
    <col min="4861" max="4861" width="7.5703125" style="5" customWidth="1"/>
    <col min="4862" max="4862" width="20.42578125" style="5" customWidth="1"/>
    <col min="4863" max="4863" width="2.5703125" style="5" customWidth="1"/>
    <col min="4864" max="4864" width="18.42578125" style="5" customWidth="1"/>
    <col min="4865" max="4865" width="10.7109375" style="5" bestFit="1" customWidth="1"/>
    <col min="4866" max="4866" width="4.140625" style="5" customWidth="1"/>
    <col min="4867" max="4867" width="18.28515625" style="5" customWidth="1"/>
    <col min="4868" max="4868" width="3" style="5" customWidth="1"/>
    <col min="4869" max="5115" width="11.42578125" style="5"/>
    <col min="5116" max="5116" width="24.5703125" style="5" customWidth="1"/>
    <col min="5117" max="5117" width="7.5703125" style="5" customWidth="1"/>
    <col min="5118" max="5118" width="20.42578125" style="5" customWidth="1"/>
    <col min="5119" max="5119" width="2.5703125" style="5" customWidth="1"/>
    <col min="5120" max="5120" width="18.42578125" style="5" customWidth="1"/>
    <col min="5121" max="5121" width="10.7109375" style="5" bestFit="1" customWidth="1"/>
    <col min="5122" max="5122" width="4.140625" style="5" customWidth="1"/>
    <col min="5123" max="5123" width="18.28515625" style="5" customWidth="1"/>
    <col min="5124" max="5124" width="3" style="5" customWidth="1"/>
    <col min="5125" max="5371" width="11.42578125" style="5"/>
    <col min="5372" max="5372" width="24.5703125" style="5" customWidth="1"/>
    <col min="5373" max="5373" width="7.5703125" style="5" customWidth="1"/>
    <col min="5374" max="5374" width="20.42578125" style="5" customWidth="1"/>
    <col min="5375" max="5375" width="2.5703125" style="5" customWidth="1"/>
    <col min="5376" max="5376" width="18.42578125" style="5" customWidth="1"/>
    <col min="5377" max="5377" width="10.7109375" style="5" bestFit="1" customWidth="1"/>
    <col min="5378" max="5378" width="4.140625" style="5" customWidth="1"/>
    <col min="5379" max="5379" width="18.28515625" style="5" customWidth="1"/>
    <col min="5380" max="5380" width="3" style="5" customWidth="1"/>
    <col min="5381" max="5627" width="11.42578125" style="5"/>
    <col min="5628" max="5628" width="24.5703125" style="5" customWidth="1"/>
    <col min="5629" max="5629" width="7.5703125" style="5" customWidth="1"/>
    <col min="5630" max="5630" width="20.42578125" style="5" customWidth="1"/>
    <col min="5631" max="5631" width="2.5703125" style="5" customWidth="1"/>
    <col min="5632" max="5632" width="18.42578125" style="5" customWidth="1"/>
    <col min="5633" max="5633" width="10.7109375" style="5" bestFit="1" customWidth="1"/>
    <col min="5634" max="5634" width="4.140625" style="5" customWidth="1"/>
    <col min="5635" max="5635" width="18.28515625" style="5" customWidth="1"/>
    <col min="5636" max="5636" width="3" style="5" customWidth="1"/>
    <col min="5637" max="5883" width="11.42578125" style="5"/>
    <col min="5884" max="5884" width="24.5703125" style="5" customWidth="1"/>
    <col min="5885" max="5885" width="7.5703125" style="5" customWidth="1"/>
    <col min="5886" max="5886" width="20.42578125" style="5" customWidth="1"/>
    <col min="5887" max="5887" width="2.5703125" style="5" customWidth="1"/>
    <col min="5888" max="5888" width="18.42578125" style="5" customWidth="1"/>
    <col min="5889" max="5889" width="10.7109375" style="5" bestFit="1" customWidth="1"/>
    <col min="5890" max="5890" width="4.140625" style="5" customWidth="1"/>
    <col min="5891" max="5891" width="18.28515625" style="5" customWidth="1"/>
    <col min="5892" max="5892" width="3" style="5" customWidth="1"/>
    <col min="5893" max="6139" width="11.42578125" style="5"/>
    <col min="6140" max="6140" width="24.5703125" style="5" customWidth="1"/>
    <col min="6141" max="6141" width="7.5703125" style="5" customWidth="1"/>
    <col min="6142" max="6142" width="20.42578125" style="5" customWidth="1"/>
    <col min="6143" max="6143" width="2.5703125" style="5" customWidth="1"/>
    <col min="6144" max="6144" width="18.42578125" style="5" customWidth="1"/>
    <col min="6145" max="6145" width="10.7109375" style="5" bestFit="1" customWidth="1"/>
    <col min="6146" max="6146" width="4.140625" style="5" customWidth="1"/>
    <col min="6147" max="6147" width="18.28515625" style="5" customWidth="1"/>
    <col min="6148" max="6148" width="3" style="5" customWidth="1"/>
    <col min="6149" max="6395" width="11.42578125" style="5"/>
    <col min="6396" max="6396" width="24.5703125" style="5" customWidth="1"/>
    <col min="6397" max="6397" width="7.5703125" style="5" customWidth="1"/>
    <col min="6398" max="6398" width="20.42578125" style="5" customWidth="1"/>
    <col min="6399" max="6399" width="2.5703125" style="5" customWidth="1"/>
    <col min="6400" max="6400" width="18.42578125" style="5" customWidth="1"/>
    <col min="6401" max="6401" width="10.7109375" style="5" bestFit="1" customWidth="1"/>
    <col min="6402" max="6402" width="4.140625" style="5" customWidth="1"/>
    <col min="6403" max="6403" width="18.28515625" style="5" customWidth="1"/>
    <col min="6404" max="6404" width="3" style="5" customWidth="1"/>
    <col min="6405" max="6651" width="11.42578125" style="5"/>
    <col min="6652" max="6652" width="24.5703125" style="5" customWidth="1"/>
    <col min="6653" max="6653" width="7.5703125" style="5" customWidth="1"/>
    <col min="6654" max="6654" width="20.42578125" style="5" customWidth="1"/>
    <col min="6655" max="6655" width="2.5703125" style="5" customWidth="1"/>
    <col min="6656" max="6656" width="18.42578125" style="5" customWidth="1"/>
    <col min="6657" max="6657" width="10.7109375" style="5" bestFit="1" customWidth="1"/>
    <col min="6658" max="6658" width="4.140625" style="5" customWidth="1"/>
    <col min="6659" max="6659" width="18.28515625" style="5" customWidth="1"/>
    <col min="6660" max="6660" width="3" style="5" customWidth="1"/>
    <col min="6661" max="6907" width="11.42578125" style="5"/>
    <col min="6908" max="6908" width="24.5703125" style="5" customWidth="1"/>
    <col min="6909" max="6909" width="7.5703125" style="5" customWidth="1"/>
    <col min="6910" max="6910" width="20.42578125" style="5" customWidth="1"/>
    <col min="6911" max="6911" width="2.5703125" style="5" customWidth="1"/>
    <col min="6912" max="6912" width="18.42578125" style="5" customWidth="1"/>
    <col min="6913" max="6913" width="10.7109375" style="5" bestFit="1" customWidth="1"/>
    <col min="6914" max="6914" width="4.140625" style="5" customWidth="1"/>
    <col min="6915" max="6915" width="18.28515625" style="5" customWidth="1"/>
    <col min="6916" max="6916" width="3" style="5" customWidth="1"/>
    <col min="6917" max="7163" width="11.42578125" style="5"/>
    <col min="7164" max="7164" width="24.5703125" style="5" customWidth="1"/>
    <col min="7165" max="7165" width="7.5703125" style="5" customWidth="1"/>
    <col min="7166" max="7166" width="20.42578125" style="5" customWidth="1"/>
    <col min="7167" max="7167" width="2.5703125" style="5" customWidth="1"/>
    <col min="7168" max="7168" width="18.42578125" style="5" customWidth="1"/>
    <col min="7169" max="7169" width="10.7109375" style="5" bestFit="1" customWidth="1"/>
    <col min="7170" max="7170" width="4.140625" style="5" customWidth="1"/>
    <col min="7171" max="7171" width="18.28515625" style="5" customWidth="1"/>
    <col min="7172" max="7172" width="3" style="5" customWidth="1"/>
    <col min="7173" max="7419" width="11.42578125" style="5"/>
    <col min="7420" max="7420" width="24.5703125" style="5" customWidth="1"/>
    <col min="7421" max="7421" width="7.5703125" style="5" customWidth="1"/>
    <col min="7422" max="7422" width="20.42578125" style="5" customWidth="1"/>
    <col min="7423" max="7423" width="2.5703125" style="5" customWidth="1"/>
    <col min="7424" max="7424" width="18.42578125" style="5" customWidth="1"/>
    <col min="7425" max="7425" width="10.7109375" style="5" bestFit="1" customWidth="1"/>
    <col min="7426" max="7426" width="4.140625" style="5" customWidth="1"/>
    <col min="7427" max="7427" width="18.28515625" style="5" customWidth="1"/>
    <col min="7428" max="7428" width="3" style="5" customWidth="1"/>
    <col min="7429" max="7675" width="11.42578125" style="5"/>
    <col min="7676" max="7676" width="24.5703125" style="5" customWidth="1"/>
    <col min="7677" max="7677" width="7.5703125" style="5" customWidth="1"/>
    <col min="7678" max="7678" width="20.42578125" style="5" customWidth="1"/>
    <col min="7679" max="7679" width="2.5703125" style="5" customWidth="1"/>
    <col min="7680" max="7680" width="18.42578125" style="5" customWidth="1"/>
    <col min="7681" max="7681" width="10.7109375" style="5" bestFit="1" customWidth="1"/>
    <col min="7682" max="7682" width="4.140625" style="5" customWidth="1"/>
    <col min="7683" max="7683" width="18.28515625" style="5" customWidth="1"/>
    <col min="7684" max="7684" width="3" style="5" customWidth="1"/>
    <col min="7685" max="7931" width="11.42578125" style="5"/>
    <col min="7932" max="7932" width="24.5703125" style="5" customWidth="1"/>
    <col min="7933" max="7933" width="7.5703125" style="5" customWidth="1"/>
    <col min="7934" max="7934" width="20.42578125" style="5" customWidth="1"/>
    <col min="7935" max="7935" width="2.5703125" style="5" customWidth="1"/>
    <col min="7936" max="7936" width="18.42578125" style="5" customWidth="1"/>
    <col min="7937" max="7937" width="10.7109375" style="5" bestFit="1" customWidth="1"/>
    <col min="7938" max="7938" width="4.140625" style="5" customWidth="1"/>
    <col min="7939" max="7939" width="18.28515625" style="5" customWidth="1"/>
    <col min="7940" max="7940" width="3" style="5" customWidth="1"/>
    <col min="7941" max="8187" width="11.42578125" style="5"/>
    <col min="8188" max="8188" width="24.5703125" style="5" customWidth="1"/>
    <col min="8189" max="8189" width="7.5703125" style="5" customWidth="1"/>
    <col min="8190" max="8190" width="20.42578125" style="5" customWidth="1"/>
    <col min="8191" max="8191" width="2.5703125" style="5" customWidth="1"/>
    <col min="8192" max="8192" width="18.42578125" style="5" customWidth="1"/>
    <col min="8193" max="8193" width="10.7109375" style="5" bestFit="1" customWidth="1"/>
    <col min="8194" max="8194" width="4.140625" style="5" customWidth="1"/>
    <col min="8195" max="8195" width="18.28515625" style="5" customWidth="1"/>
    <col min="8196" max="8196" width="3" style="5" customWidth="1"/>
    <col min="8197" max="8443" width="11.42578125" style="5"/>
    <col min="8444" max="8444" width="24.5703125" style="5" customWidth="1"/>
    <col min="8445" max="8445" width="7.5703125" style="5" customWidth="1"/>
    <col min="8446" max="8446" width="20.42578125" style="5" customWidth="1"/>
    <col min="8447" max="8447" width="2.5703125" style="5" customWidth="1"/>
    <col min="8448" max="8448" width="18.42578125" style="5" customWidth="1"/>
    <col min="8449" max="8449" width="10.7109375" style="5" bestFit="1" customWidth="1"/>
    <col min="8450" max="8450" width="4.140625" style="5" customWidth="1"/>
    <col min="8451" max="8451" width="18.28515625" style="5" customWidth="1"/>
    <col min="8452" max="8452" width="3" style="5" customWidth="1"/>
    <col min="8453" max="8699" width="11.42578125" style="5"/>
    <col min="8700" max="8700" width="24.5703125" style="5" customWidth="1"/>
    <col min="8701" max="8701" width="7.5703125" style="5" customWidth="1"/>
    <col min="8702" max="8702" width="20.42578125" style="5" customWidth="1"/>
    <col min="8703" max="8703" width="2.5703125" style="5" customWidth="1"/>
    <col min="8704" max="8704" width="18.42578125" style="5" customWidth="1"/>
    <col min="8705" max="8705" width="10.7109375" style="5" bestFit="1" customWidth="1"/>
    <col min="8706" max="8706" width="4.140625" style="5" customWidth="1"/>
    <col min="8707" max="8707" width="18.28515625" style="5" customWidth="1"/>
    <col min="8708" max="8708" width="3" style="5" customWidth="1"/>
    <col min="8709" max="8955" width="11.42578125" style="5"/>
    <col min="8956" max="8956" width="24.5703125" style="5" customWidth="1"/>
    <col min="8957" max="8957" width="7.5703125" style="5" customWidth="1"/>
    <col min="8958" max="8958" width="20.42578125" style="5" customWidth="1"/>
    <col min="8959" max="8959" width="2.5703125" style="5" customWidth="1"/>
    <col min="8960" max="8960" width="18.42578125" style="5" customWidth="1"/>
    <col min="8961" max="8961" width="10.7109375" style="5" bestFit="1" customWidth="1"/>
    <col min="8962" max="8962" width="4.140625" style="5" customWidth="1"/>
    <col min="8963" max="8963" width="18.28515625" style="5" customWidth="1"/>
    <col min="8964" max="8964" width="3" style="5" customWidth="1"/>
    <col min="8965" max="9211" width="11.42578125" style="5"/>
    <col min="9212" max="9212" width="24.5703125" style="5" customWidth="1"/>
    <col min="9213" max="9213" width="7.5703125" style="5" customWidth="1"/>
    <col min="9214" max="9214" width="20.42578125" style="5" customWidth="1"/>
    <col min="9215" max="9215" width="2.5703125" style="5" customWidth="1"/>
    <col min="9216" max="9216" width="18.42578125" style="5" customWidth="1"/>
    <col min="9217" max="9217" width="10.7109375" style="5" bestFit="1" customWidth="1"/>
    <col min="9218" max="9218" width="4.140625" style="5" customWidth="1"/>
    <col min="9219" max="9219" width="18.28515625" style="5" customWidth="1"/>
    <col min="9220" max="9220" width="3" style="5" customWidth="1"/>
    <col min="9221" max="9467" width="11.42578125" style="5"/>
    <col min="9468" max="9468" width="24.5703125" style="5" customWidth="1"/>
    <col min="9469" max="9469" width="7.5703125" style="5" customWidth="1"/>
    <col min="9470" max="9470" width="20.42578125" style="5" customWidth="1"/>
    <col min="9471" max="9471" width="2.5703125" style="5" customWidth="1"/>
    <col min="9472" max="9472" width="18.42578125" style="5" customWidth="1"/>
    <col min="9473" max="9473" width="10.7109375" style="5" bestFit="1" customWidth="1"/>
    <col min="9474" max="9474" width="4.140625" style="5" customWidth="1"/>
    <col min="9475" max="9475" width="18.28515625" style="5" customWidth="1"/>
    <col min="9476" max="9476" width="3" style="5" customWidth="1"/>
    <col min="9477" max="9723" width="11.42578125" style="5"/>
    <col min="9724" max="9724" width="24.5703125" style="5" customWidth="1"/>
    <col min="9725" max="9725" width="7.5703125" style="5" customWidth="1"/>
    <col min="9726" max="9726" width="20.42578125" style="5" customWidth="1"/>
    <col min="9727" max="9727" width="2.5703125" style="5" customWidth="1"/>
    <col min="9728" max="9728" width="18.42578125" style="5" customWidth="1"/>
    <col min="9729" max="9729" width="10.7109375" style="5" bestFit="1" customWidth="1"/>
    <col min="9730" max="9730" width="4.140625" style="5" customWidth="1"/>
    <col min="9731" max="9731" width="18.28515625" style="5" customWidth="1"/>
    <col min="9732" max="9732" width="3" style="5" customWidth="1"/>
    <col min="9733" max="9979" width="11.42578125" style="5"/>
    <col min="9980" max="9980" width="24.5703125" style="5" customWidth="1"/>
    <col min="9981" max="9981" width="7.5703125" style="5" customWidth="1"/>
    <col min="9982" max="9982" width="20.42578125" style="5" customWidth="1"/>
    <col min="9983" max="9983" width="2.5703125" style="5" customWidth="1"/>
    <col min="9984" max="9984" width="18.42578125" style="5" customWidth="1"/>
    <col min="9985" max="9985" width="10.7109375" style="5" bestFit="1" customWidth="1"/>
    <col min="9986" max="9986" width="4.140625" style="5" customWidth="1"/>
    <col min="9987" max="9987" width="18.28515625" style="5" customWidth="1"/>
    <col min="9988" max="9988" width="3" style="5" customWidth="1"/>
    <col min="9989" max="10235" width="11.42578125" style="5"/>
    <col min="10236" max="10236" width="24.5703125" style="5" customWidth="1"/>
    <col min="10237" max="10237" width="7.5703125" style="5" customWidth="1"/>
    <col min="10238" max="10238" width="20.42578125" style="5" customWidth="1"/>
    <col min="10239" max="10239" width="2.5703125" style="5" customWidth="1"/>
    <col min="10240" max="10240" width="18.42578125" style="5" customWidth="1"/>
    <col min="10241" max="10241" width="10.7109375" style="5" bestFit="1" customWidth="1"/>
    <col min="10242" max="10242" width="4.140625" style="5" customWidth="1"/>
    <col min="10243" max="10243" width="18.28515625" style="5" customWidth="1"/>
    <col min="10244" max="10244" width="3" style="5" customWidth="1"/>
    <col min="10245" max="10491" width="11.42578125" style="5"/>
    <col min="10492" max="10492" width="24.5703125" style="5" customWidth="1"/>
    <col min="10493" max="10493" width="7.5703125" style="5" customWidth="1"/>
    <col min="10494" max="10494" width="20.42578125" style="5" customWidth="1"/>
    <col min="10495" max="10495" width="2.5703125" style="5" customWidth="1"/>
    <col min="10496" max="10496" width="18.42578125" style="5" customWidth="1"/>
    <col min="10497" max="10497" width="10.7109375" style="5" bestFit="1" customWidth="1"/>
    <col min="10498" max="10498" width="4.140625" style="5" customWidth="1"/>
    <col min="10499" max="10499" width="18.28515625" style="5" customWidth="1"/>
    <col min="10500" max="10500" width="3" style="5" customWidth="1"/>
    <col min="10501" max="10747" width="11.42578125" style="5"/>
    <col min="10748" max="10748" width="24.5703125" style="5" customWidth="1"/>
    <col min="10749" max="10749" width="7.5703125" style="5" customWidth="1"/>
    <col min="10750" max="10750" width="20.42578125" style="5" customWidth="1"/>
    <col min="10751" max="10751" width="2.5703125" style="5" customWidth="1"/>
    <col min="10752" max="10752" width="18.42578125" style="5" customWidth="1"/>
    <col min="10753" max="10753" width="10.7109375" style="5" bestFit="1" customWidth="1"/>
    <col min="10754" max="10754" width="4.140625" style="5" customWidth="1"/>
    <col min="10755" max="10755" width="18.28515625" style="5" customWidth="1"/>
    <col min="10756" max="10756" width="3" style="5" customWidth="1"/>
    <col min="10757" max="11003" width="11.42578125" style="5"/>
    <col min="11004" max="11004" width="24.5703125" style="5" customWidth="1"/>
    <col min="11005" max="11005" width="7.5703125" style="5" customWidth="1"/>
    <col min="11006" max="11006" width="20.42578125" style="5" customWidth="1"/>
    <col min="11007" max="11007" width="2.5703125" style="5" customWidth="1"/>
    <col min="11008" max="11008" width="18.42578125" style="5" customWidth="1"/>
    <col min="11009" max="11009" width="10.7109375" style="5" bestFit="1" customWidth="1"/>
    <col min="11010" max="11010" width="4.140625" style="5" customWidth="1"/>
    <col min="11011" max="11011" width="18.28515625" style="5" customWidth="1"/>
    <col min="11012" max="11012" width="3" style="5" customWidth="1"/>
    <col min="11013" max="11259" width="11.42578125" style="5"/>
    <col min="11260" max="11260" width="24.5703125" style="5" customWidth="1"/>
    <col min="11261" max="11261" width="7.5703125" style="5" customWidth="1"/>
    <col min="11262" max="11262" width="20.42578125" style="5" customWidth="1"/>
    <col min="11263" max="11263" width="2.5703125" style="5" customWidth="1"/>
    <col min="11264" max="11264" width="18.42578125" style="5" customWidth="1"/>
    <col min="11265" max="11265" width="10.7109375" style="5" bestFit="1" customWidth="1"/>
    <col min="11266" max="11266" width="4.140625" style="5" customWidth="1"/>
    <col min="11267" max="11267" width="18.28515625" style="5" customWidth="1"/>
    <col min="11268" max="11268" width="3" style="5" customWidth="1"/>
    <col min="11269" max="11515" width="11.42578125" style="5"/>
    <col min="11516" max="11516" width="24.5703125" style="5" customWidth="1"/>
    <col min="11517" max="11517" width="7.5703125" style="5" customWidth="1"/>
    <col min="11518" max="11518" width="20.42578125" style="5" customWidth="1"/>
    <col min="11519" max="11519" width="2.5703125" style="5" customWidth="1"/>
    <col min="11520" max="11520" width="18.42578125" style="5" customWidth="1"/>
    <col min="11521" max="11521" width="10.7109375" style="5" bestFit="1" customWidth="1"/>
    <col min="11522" max="11522" width="4.140625" style="5" customWidth="1"/>
    <col min="11523" max="11523" width="18.28515625" style="5" customWidth="1"/>
    <col min="11524" max="11524" width="3" style="5" customWidth="1"/>
    <col min="11525" max="11771" width="11.42578125" style="5"/>
    <col min="11772" max="11772" width="24.5703125" style="5" customWidth="1"/>
    <col min="11773" max="11773" width="7.5703125" style="5" customWidth="1"/>
    <col min="11774" max="11774" width="20.42578125" style="5" customWidth="1"/>
    <col min="11775" max="11775" width="2.5703125" style="5" customWidth="1"/>
    <col min="11776" max="11776" width="18.42578125" style="5" customWidth="1"/>
    <col min="11777" max="11777" width="10.7109375" style="5" bestFit="1" customWidth="1"/>
    <col min="11778" max="11778" width="4.140625" style="5" customWidth="1"/>
    <col min="11779" max="11779" width="18.28515625" style="5" customWidth="1"/>
    <col min="11780" max="11780" width="3" style="5" customWidth="1"/>
    <col min="11781" max="12027" width="11.42578125" style="5"/>
    <col min="12028" max="12028" width="24.5703125" style="5" customWidth="1"/>
    <col min="12029" max="12029" width="7.5703125" style="5" customWidth="1"/>
    <col min="12030" max="12030" width="20.42578125" style="5" customWidth="1"/>
    <col min="12031" max="12031" width="2.5703125" style="5" customWidth="1"/>
    <col min="12032" max="12032" width="18.42578125" style="5" customWidth="1"/>
    <col min="12033" max="12033" width="10.7109375" style="5" bestFit="1" customWidth="1"/>
    <col min="12034" max="12034" width="4.140625" style="5" customWidth="1"/>
    <col min="12035" max="12035" width="18.28515625" style="5" customWidth="1"/>
    <col min="12036" max="12036" width="3" style="5" customWidth="1"/>
    <col min="12037" max="12283" width="11.42578125" style="5"/>
    <col min="12284" max="12284" width="24.5703125" style="5" customWidth="1"/>
    <col min="12285" max="12285" width="7.5703125" style="5" customWidth="1"/>
    <col min="12286" max="12286" width="20.42578125" style="5" customWidth="1"/>
    <col min="12287" max="12287" width="2.5703125" style="5" customWidth="1"/>
    <col min="12288" max="12288" width="18.42578125" style="5" customWidth="1"/>
    <col min="12289" max="12289" width="10.7109375" style="5" bestFit="1" customWidth="1"/>
    <col min="12290" max="12290" width="4.140625" style="5" customWidth="1"/>
    <col min="12291" max="12291" width="18.28515625" style="5" customWidth="1"/>
    <col min="12292" max="12292" width="3" style="5" customWidth="1"/>
    <col min="12293" max="12539" width="11.42578125" style="5"/>
    <col min="12540" max="12540" width="24.5703125" style="5" customWidth="1"/>
    <col min="12541" max="12541" width="7.5703125" style="5" customWidth="1"/>
    <col min="12542" max="12542" width="20.42578125" style="5" customWidth="1"/>
    <col min="12543" max="12543" width="2.5703125" style="5" customWidth="1"/>
    <col min="12544" max="12544" width="18.42578125" style="5" customWidth="1"/>
    <col min="12545" max="12545" width="10.7109375" style="5" bestFit="1" customWidth="1"/>
    <col min="12546" max="12546" width="4.140625" style="5" customWidth="1"/>
    <col min="12547" max="12547" width="18.28515625" style="5" customWidth="1"/>
    <col min="12548" max="12548" width="3" style="5" customWidth="1"/>
    <col min="12549" max="12795" width="11.42578125" style="5"/>
    <col min="12796" max="12796" width="24.5703125" style="5" customWidth="1"/>
    <col min="12797" max="12797" width="7.5703125" style="5" customWidth="1"/>
    <col min="12798" max="12798" width="20.42578125" style="5" customWidth="1"/>
    <col min="12799" max="12799" width="2.5703125" style="5" customWidth="1"/>
    <col min="12800" max="12800" width="18.42578125" style="5" customWidth="1"/>
    <col min="12801" max="12801" width="10.7109375" style="5" bestFit="1" customWidth="1"/>
    <col min="12802" max="12802" width="4.140625" style="5" customWidth="1"/>
    <col min="12803" max="12803" width="18.28515625" style="5" customWidth="1"/>
    <col min="12804" max="12804" width="3" style="5" customWidth="1"/>
    <col min="12805" max="13051" width="11.42578125" style="5"/>
    <col min="13052" max="13052" width="24.5703125" style="5" customWidth="1"/>
    <col min="13053" max="13053" width="7.5703125" style="5" customWidth="1"/>
    <col min="13054" max="13054" width="20.42578125" style="5" customWidth="1"/>
    <col min="13055" max="13055" width="2.5703125" style="5" customWidth="1"/>
    <col min="13056" max="13056" width="18.42578125" style="5" customWidth="1"/>
    <col min="13057" max="13057" width="10.7109375" style="5" bestFit="1" customWidth="1"/>
    <col min="13058" max="13058" width="4.140625" style="5" customWidth="1"/>
    <col min="13059" max="13059" width="18.28515625" style="5" customWidth="1"/>
    <col min="13060" max="13060" width="3" style="5" customWidth="1"/>
    <col min="13061" max="13307" width="11.42578125" style="5"/>
    <col min="13308" max="13308" width="24.5703125" style="5" customWidth="1"/>
    <col min="13309" max="13309" width="7.5703125" style="5" customWidth="1"/>
    <col min="13310" max="13310" width="20.42578125" style="5" customWidth="1"/>
    <col min="13311" max="13311" width="2.5703125" style="5" customWidth="1"/>
    <col min="13312" max="13312" width="18.42578125" style="5" customWidth="1"/>
    <col min="13313" max="13313" width="10.7109375" style="5" bestFit="1" customWidth="1"/>
    <col min="13314" max="13314" width="4.140625" style="5" customWidth="1"/>
    <col min="13315" max="13315" width="18.28515625" style="5" customWidth="1"/>
    <col min="13316" max="13316" width="3" style="5" customWidth="1"/>
    <col min="13317" max="13563" width="11.42578125" style="5"/>
    <col min="13564" max="13564" width="24.5703125" style="5" customWidth="1"/>
    <col min="13565" max="13565" width="7.5703125" style="5" customWidth="1"/>
    <col min="13566" max="13566" width="20.42578125" style="5" customWidth="1"/>
    <col min="13567" max="13567" width="2.5703125" style="5" customWidth="1"/>
    <col min="13568" max="13568" width="18.42578125" style="5" customWidth="1"/>
    <col min="13569" max="13569" width="10.7109375" style="5" bestFit="1" customWidth="1"/>
    <col min="13570" max="13570" width="4.140625" style="5" customWidth="1"/>
    <col min="13571" max="13571" width="18.28515625" style="5" customWidth="1"/>
    <col min="13572" max="13572" width="3" style="5" customWidth="1"/>
    <col min="13573" max="13819" width="11.42578125" style="5"/>
    <col min="13820" max="13820" width="24.5703125" style="5" customWidth="1"/>
    <col min="13821" max="13821" width="7.5703125" style="5" customWidth="1"/>
    <col min="13822" max="13822" width="20.42578125" style="5" customWidth="1"/>
    <col min="13823" max="13823" width="2.5703125" style="5" customWidth="1"/>
    <col min="13824" max="13824" width="18.42578125" style="5" customWidth="1"/>
    <col min="13825" max="13825" width="10.7109375" style="5" bestFit="1" customWidth="1"/>
    <col min="13826" max="13826" width="4.140625" style="5" customWidth="1"/>
    <col min="13827" max="13827" width="18.28515625" style="5" customWidth="1"/>
    <col min="13828" max="13828" width="3" style="5" customWidth="1"/>
    <col min="13829" max="14075" width="11.42578125" style="5"/>
    <col min="14076" max="14076" width="24.5703125" style="5" customWidth="1"/>
    <col min="14077" max="14077" width="7.5703125" style="5" customWidth="1"/>
    <col min="14078" max="14078" width="20.42578125" style="5" customWidth="1"/>
    <col min="14079" max="14079" width="2.5703125" style="5" customWidth="1"/>
    <col min="14080" max="14080" width="18.42578125" style="5" customWidth="1"/>
    <col min="14081" max="14081" width="10.7109375" style="5" bestFit="1" customWidth="1"/>
    <col min="14082" max="14082" width="4.140625" style="5" customWidth="1"/>
    <col min="14083" max="14083" width="18.28515625" style="5" customWidth="1"/>
    <col min="14084" max="14084" width="3" style="5" customWidth="1"/>
    <col min="14085" max="14331" width="11.42578125" style="5"/>
    <col min="14332" max="14332" width="24.5703125" style="5" customWidth="1"/>
    <col min="14333" max="14333" width="7.5703125" style="5" customWidth="1"/>
    <col min="14334" max="14334" width="20.42578125" style="5" customWidth="1"/>
    <col min="14335" max="14335" width="2.5703125" style="5" customWidth="1"/>
    <col min="14336" max="14336" width="18.42578125" style="5" customWidth="1"/>
    <col min="14337" max="14337" width="10.7109375" style="5" bestFit="1" customWidth="1"/>
    <col min="14338" max="14338" width="4.140625" style="5" customWidth="1"/>
    <col min="14339" max="14339" width="18.28515625" style="5" customWidth="1"/>
    <col min="14340" max="14340" width="3" style="5" customWidth="1"/>
    <col min="14341" max="14587" width="11.42578125" style="5"/>
    <col min="14588" max="14588" width="24.5703125" style="5" customWidth="1"/>
    <col min="14589" max="14589" width="7.5703125" style="5" customWidth="1"/>
    <col min="14590" max="14590" width="20.42578125" style="5" customWidth="1"/>
    <col min="14591" max="14591" width="2.5703125" style="5" customWidth="1"/>
    <col min="14592" max="14592" width="18.42578125" style="5" customWidth="1"/>
    <col min="14593" max="14593" width="10.7109375" style="5" bestFit="1" customWidth="1"/>
    <col min="14594" max="14594" width="4.140625" style="5" customWidth="1"/>
    <col min="14595" max="14595" width="18.28515625" style="5" customWidth="1"/>
    <col min="14596" max="14596" width="3" style="5" customWidth="1"/>
    <col min="14597" max="14843" width="11.42578125" style="5"/>
    <col min="14844" max="14844" width="24.5703125" style="5" customWidth="1"/>
    <col min="14845" max="14845" width="7.5703125" style="5" customWidth="1"/>
    <col min="14846" max="14846" width="20.42578125" style="5" customWidth="1"/>
    <col min="14847" max="14847" width="2.5703125" style="5" customWidth="1"/>
    <col min="14848" max="14848" width="18.42578125" style="5" customWidth="1"/>
    <col min="14849" max="14849" width="10.7109375" style="5" bestFit="1" customWidth="1"/>
    <col min="14850" max="14850" width="4.140625" style="5" customWidth="1"/>
    <col min="14851" max="14851" width="18.28515625" style="5" customWidth="1"/>
    <col min="14852" max="14852" width="3" style="5" customWidth="1"/>
    <col min="14853" max="15099" width="11.42578125" style="5"/>
    <col min="15100" max="15100" width="24.5703125" style="5" customWidth="1"/>
    <col min="15101" max="15101" width="7.5703125" style="5" customWidth="1"/>
    <col min="15102" max="15102" width="20.42578125" style="5" customWidth="1"/>
    <col min="15103" max="15103" width="2.5703125" style="5" customWidth="1"/>
    <col min="15104" max="15104" width="18.42578125" style="5" customWidth="1"/>
    <col min="15105" max="15105" width="10.7109375" style="5" bestFit="1" customWidth="1"/>
    <col min="15106" max="15106" width="4.140625" style="5" customWidth="1"/>
    <col min="15107" max="15107" width="18.28515625" style="5" customWidth="1"/>
    <col min="15108" max="15108" width="3" style="5" customWidth="1"/>
    <col min="15109" max="15355" width="11.42578125" style="5"/>
    <col min="15356" max="15356" width="24.5703125" style="5" customWidth="1"/>
    <col min="15357" max="15357" width="7.5703125" style="5" customWidth="1"/>
    <col min="15358" max="15358" width="20.42578125" style="5" customWidth="1"/>
    <col min="15359" max="15359" width="2.5703125" style="5" customWidth="1"/>
    <col min="15360" max="15360" width="18.42578125" style="5" customWidth="1"/>
    <col min="15361" max="15361" width="10.7109375" style="5" bestFit="1" customWidth="1"/>
    <col min="15362" max="15362" width="4.140625" style="5" customWidth="1"/>
    <col min="15363" max="15363" width="18.28515625" style="5" customWidth="1"/>
    <col min="15364" max="15364" width="3" style="5" customWidth="1"/>
    <col min="15365" max="15611" width="11.42578125" style="5"/>
    <col min="15612" max="15612" width="24.5703125" style="5" customWidth="1"/>
    <col min="15613" max="15613" width="7.5703125" style="5" customWidth="1"/>
    <col min="15614" max="15614" width="20.42578125" style="5" customWidth="1"/>
    <col min="15615" max="15615" width="2.5703125" style="5" customWidth="1"/>
    <col min="15616" max="15616" width="18.42578125" style="5" customWidth="1"/>
    <col min="15617" max="15617" width="10.7109375" style="5" bestFit="1" customWidth="1"/>
    <col min="15618" max="15618" width="4.140625" style="5" customWidth="1"/>
    <col min="15619" max="15619" width="18.28515625" style="5" customWidth="1"/>
    <col min="15620" max="15620" width="3" style="5" customWidth="1"/>
    <col min="15621" max="15867" width="11.42578125" style="5"/>
    <col min="15868" max="15868" width="24.5703125" style="5" customWidth="1"/>
    <col min="15869" max="15869" width="7.5703125" style="5" customWidth="1"/>
    <col min="15870" max="15870" width="20.42578125" style="5" customWidth="1"/>
    <col min="15871" max="15871" width="2.5703125" style="5" customWidth="1"/>
    <col min="15872" max="15872" width="18.42578125" style="5" customWidth="1"/>
    <col min="15873" max="15873" width="10.7109375" style="5" bestFit="1" customWidth="1"/>
    <col min="15874" max="15874" width="4.140625" style="5" customWidth="1"/>
    <col min="15875" max="15875" width="18.28515625" style="5" customWidth="1"/>
    <col min="15876" max="15876" width="3" style="5" customWidth="1"/>
    <col min="15877" max="16123" width="11.42578125" style="5"/>
    <col min="16124" max="16124" width="24.5703125" style="5" customWidth="1"/>
    <col min="16125" max="16125" width="7.5703125" style="5" customWidth="1"/>
    <col min="16126" max="16126" width="20.42578125" style="5" customWidth="1"/>
    <col min="16127" max="16127" width="2.5703125" style="5" customWidth="1"/>
    <col min="16128" max="16128" width="18.42578125" style="5" customWidth="1"/>
    <col min="16129" max="16129" width="10.7109375" style="5" bestFit="1" customWidth="1"/>
    <col min="16130" max="16130" width="4.140625" style="5" customWidth="1"/>
    <col min="16131" max="16131" width="18.28515625" style="5" customWidth="1"/>
    <col min="16132" max="16132" width="3" style="5" customWidth="1"/>
    <col min="16133" max="16379" width="11.42578125" style="5"/>
    <col min="16380" max="16384" width="11.42578125" style="5" customWidth="1"/>
  </cols>
  <sheetData>
    <row r="1" spans="1:5" ht="15" x14ac:dyDescent="0.25">
      <c r="A1" s="735"/>
      <c r="B1" s="735"/>
      <c r="C1" s="735"/>
      <c r="D1" s="956"/>
    </row>
    <row r="2" spans="1:5" ht="20.25" x14ac:dyDescent="0.3">
      <c r="A2" s="1103" t="s">
        <v>4105</v>
      </c>
      <c r="B2" s="1103"/>
      <c r="C2" s="1103"/>
      <c r="D2" s="1103"/>
      <c r="E2" s="1103"/>
    </row>
    <row r="3" spans="1:5" ht="15.75" x14ac:dyDescent="0.25">
      <c r="A3" s="1102" t="s">
        <v>3548</v>
      </c>
      <c r="B3" s="1102"/>
      <c r="C3" s="1102"/>
      <c r="D3" s="1102"/>
      <c r="E3" s="1102"/>
    </row>
    <row r="4" spans="1:5" ht="15.75" x14ac:dyDescent="0.25">
      <c r="A4" s="1102" t="s">
        <v>3534</v>
      </c>
      <c r="B4" s="1102"/>
      <c r="C4" s="1102"/>
      <c r="D4" s="1102"/>
      <c r="E4" s="1102"/>
    </row>
    <row r="5" spans="1:5" ht="15" x14ac:dyDescent="0.25">
      <c r="A5" s="14"/>
      <c r="C5" s="5"/>
    </row>
    <row r="6" spans="1:5" ht="15.75" x14ac:dyDescent="0.25">
      <c r="A6" s="1101" t="s">
        <v>3985</v>
      </c>
      <c r="B6" s="1101"/>
      <c r="C6" s="1101"/>
      <c r="D6" s="1101"/>
      <c r="E6" s="1101"/>
    </row>
    <row r="7" spans="1:5" ht="15" x14ac:dyDescent="0.25">
      <c r="A7" s="14"/>
      <c r="C7" s="5"/>
    </row>
    <row r="8" spans="1:5" ht="15" x14ac:dyDescent="0.25">
      <c r="A8" s="14"/>
      <c r="C8" s="5"/>
    </row>
    <row r="9" spans="1:5" x14ac:dyDescent="0.2">
      <c r="A9" s="5" t="s">
        <v>3384</v>
      </c>
      <c r="B9" s="958" t="s">
        <v>4013</v>
      </c>
      <c r="C9" s="1055">
        <v>4741752124.8599997</v>
      </c>
    </row>
    <row r="10" spans="1:5" x14ac:dyDescent="0.2">
      <c r="B10" s="958"/>
      <c r="C10" s="1055"/>
      <c r="E10" s="960"/>
    </row>
    <row r="11" spans="1:5" ht="15" thickBot="1" x14ac:dyDescent="0.25">
      <c r="A11" s="5" t="s">
        <v>3385</v>
      </c>
      <c r="B11" s="958" t="s">
        <v>4013</v>
      </c>
      <c r="C11" s="1056">
        <v>1213820864.72</v>
      </c>
      <c r="D11" s="704" t="s">
        <v>3387</v>
      </c>
    </row>
    <row r="12" spans="1:5" x14ac:dyDescent="0.2">
      <c r="C12" s="5"/>
    </row>
    <row r="13" spans="1:5" ht="15" x14ac:dyDescent="0.25">
      <c r="A13" s="11" t="s">
        <v>3386</v>
      </c>
      <c r="B13" s="962" t="s">
        <v>4013</v>
      </c>
      <c r="C13" s="963">
        <f>+C9-C11</f>
        <v>3527931260.1399994</v>
      </c>
    </row>
    <row r="14" spans="1:5" x14ac:dyDescent="0.2">
      <c r="C14" s="5"/>
      <c r="D14" s="704"/>
    </row>
    <row r="15" spans="1:5" x14ac:dyDescent="0.2">
      <c r="C15" s="5"/>
      <c r="D15" s="704"/>
    </row>
    <row r="16" spans="1:5" x14ac:dyDescent="0.2">
      <c r="C16" s="5"/>
      <c r="D16" s="704"/>
    </row>
    <row r="17" spans="1:5" x14ac:dyDescent="0.2">
      <c r="C17" s="5"/>
    </row>
    <row r="18" spans="1:5" ht="15.75" x14ac:dyDescent="0.25">
      <c r="A18" s="1101" t="s">
        <v>3986</v>
      </c>
      <c r="B18" s="1101"/>
      <c r="C18" s="1101"/>
      <c r="D18" s="1101"/>
      <c r="E18" s="1101"/>
    </row>
    <row r="19" spans="1:5" x14ac:dyDescent="0.2">
      <c r="A19" s="964"/>
      <c r="B19" s="958" t="s">
        <v>468</v>
      </c>
      <c r="C19" s="13" t="s">
        <v>468</v>
      </c>
      <c r="D19" s="704"/>
    </row>
    <row r="20" spans="1:5" ht="15" x14ac:dyDescent="0.25">
      <c r="A20" s="11" t="s">
        <v>2691</v>
      </c>
      <c r="E20" s="960" t="s">
        <v>4165</v>
      </c>
    </row>
    <row r="21" spans="1:5" s="11" customFormat="1" ht="15" x14ac:dyDescent="0.25">
      <c r="A21" s="5"/>
      <c r="B21" s="5"/>
      <c r="C21" s="13"/>
      <c r="D21" s="957"/>
      <c r="E21" s="794"/>
    </row>
    <row r="22" spans="1:5" x14ac:dyDescent="0.2">
      <c r="A22" s="5" t="s">
        <v>523</v>
      </c>
      <c r="B22" s="958" t="s">
        <v>4013</v>
      </c>
      <c r="C22" s="1055">
        <v>5500000000</v>
      </c>
    </row>
    <row r="23" spans="1:5" ht="15" thickBot="1" x14ac:dyDescent="0.25">
      <c r="A23" s="5" t="s">
        <v>1023</v>
      </c>
      <c r="B23" s="958" t="s">
        <v>4013</v>
      </c>
      <c r="C23" s="1056">
        <v>4741752124.8599997</v>
      </c>
      <c r="E23" s="794">
        <f>+C23/C22</f>
        <v>0.86213674997454537</v>
      </c>
    </row>
    <row r="25" spans="1:5" ht="16.5" customHeight="1" x14ac:dyDescent="0.25">
      <c r="A25" s="11" t="s">
        <v>387</v>
      </c>
      <c r="B25" s="962" t="s">
        <v>4013</v>
      </c>
      <c r="C25" s="965">
        <f>+C22-C23</f>
        <v>758247875.14000034</v>
      </c>
      <c r="D25" s="956"/>
      <c r="E25" s="966"/>
    </row>
    <row r="26" spans="1:5" ht="17.25" customHeight="1" x14ac:dyDescent="0.2"/>
    <row r="28" spans="1:5" ht="15" x14ac:dyDescent="0.25">
      <c r="A28" s="11" t="s">
        <v>2692</v>
      </c>
      <c r="E28" s="960" t="s">
        <v>4165</v>
      </c>
    </row>
    <row r="29" spans="1:5" s="11" customFormat="1" ht="15" x14ac:dyDescent="0.25">
      <c r="A29" s="5"/>
      <c r="B29" s="5"/>
      <c r="C29" s="13"/>
      <c r="D29" s="957"/>
      <c r="E29" s="794"/>
    </row>
    <row r="30" spans="1:5" x14ac:dyDescent="0.2">
      <c r="A30" s="5" t="s">
        <v>523</v>
      </c>
      <c r="B30" s="958" t="s">
        <v>4013</v>
      </c>
      <c r="C30" s="1055">
        <v>5500000000</v>
      </c>
    </row>
    <row r="31" spans="1:5" ht="15" thickBot="1" x14ac:dyDescent="0.25">
      <c r="A31" s="5" t="s">
        <v>1023</v>
      </c>
      <c r="B31" s="958" t="s">
        <v>4013</v>
      </c>
      <c r="C31" s="1056">
        <v>1213820864.72</v>
      </c>
      <c r="D31" s="704" t="s">
        <v>3387</v>
      </c>
      <c r="E31" s="794">
        <f>+C31/C30</f>
        <v>0.22069470267636365</v>
      </c>
    </row>
    <row r="33" spans="1:5" ht="15" x14ac:dyDescent="0.25">
      <c r="A33" s="11" t="s">
        <v>1170</v>
      </c>
      <c r="B33" s="962" t="s">
        <v>4013</v>
      </c>
      <c r="C33" s="965">
        <f>+C30-C31</f>
        <v>4286179135.2799997</v>
      </c>
      <c r="D33" s="956"/>
      <c r="E33" s="966"/>
    </row>
    <row r="36" spans="1:5" ht="15" x14ac:dyDescent="0.25">
      <c r="A36" s="20" t="s">
        <v>2272</v>
      </c>
      <c r="B36" s="962" t="s">
        <v>4013</v>
      </c>
      <c r="C36" s="965">
        <f>+C33-C25</f>
        <v>3527931260.1399994</v>
      </c>
      <c r="D36" s="956"/>
      <c r="E36" s="966"/>
    </row>
    <row r="38" spans="1:5" x14ac:dyDescent="0.2">
      <c r="A38" s="17" t="s">
        <v>1712</v>
      </c>
      <c r="B38" s="958" t="s">
        <v>4013</v>
      </c>
      <c r="C38" s="13">
        <v>247223378.77000001</v>
      </c>
    </row>
    <row r="40" spans="1:5" ht="15.75" thickBot="1" x14ac:dyDescent="0.3">
      <c r="A40" s="11" t="s">
        <v>3388</v>
      </c>
      <c r="B40" s="962" t="s">
        <v>4013</v>
      </c>
      <c r="C40" s="967">
        <f>+C36-C38</f>
        <v>3280707881.3699994</v>
      </c>
      <c r="D40" s="956"/>
      <c r="E40" s="966"/>
    </row>
    <row r="41" spans="1:5" ht="15" thickTop="1" x14ac:dyDescent="0.2"/>
    <row r="44" spans="1:5" ht="15" x14ac:dyDescent="0.25">
      <c r="A44" s="11" t="s">
        <v>121</v>
      </c>
    </row>
    <row r="45" spans="1:5" ht="45" customHeight="1" x14ac:dyDescent="0.2">
      <c r="A45" s="1094" t="s">
        <v>4191</v>
      </c>
      <c r="B45" s="1094"/>
      <c r="C45" s="1094"/>
    </row>
    <row r="46" spans="1:5" x14ac:dyDescent="0.2">
      <c r="A46" s="5" t="s">
        <v>468</v>
      </c>
    </row>
  </sheetData>
  <mergeCells count="6">
    <mergeCell ref="A45:C45"/>
    <mergeCell ref="A18:E18"/>
    <mergeCell ref="A4:E4"/>
    <mergeCell ref="A2:E2"/>
    <mergeCell ref="A3:E3"/>
    <mergeCell ref="A6:E6"/>
  </mergeCells>
  <phoneticPr fontId="0" type="noConversion"/>
  <printOptions horizontalCentered="1"/>
  <pageMargins left="0.86614173228346458" right="0.78740157480314965" top="1.6535433070866143" bottom="0.9055118110236221" header="0.98425196850393704" footer="0.86614173228346458"/>
  <pageSetup paperSize="9" scale="80" orientation="portrait" r:id="rId1"/>
  <headerFooter alignWithMargins="0">
    <oddHeader>&amp;C&amp;"Arial,Negrita"&amp;11UNIVERSIDAD DE COSTA RICA
VICERRECTORÍA DE ADMINISTRACIÓN
OFICINA DE ADMINISTRACIÓN FINANCIERA</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P153"/>
  <sheetViews>
    <sheetView topLeftCell="D132" workbookViewId="0">
      <selection activeCell="L152" sqref="L152"/>
    </sheetView>
  </sheetViews>
  <sheetFormatPr baseColWidth="10" defaultColWidth="11.42578125" defaultRowHeight="12.75" x14ac:dyDescent="0.2"/>
  <cols>
    <col min="1" max="1" width="12" style="217" bestFit="1" customWidth="1"/>
    <col min="2" max="2" width="64.5703125" style="970" bestFit="1" customWidth="1"/>
    <col min="3" max="4" width="16.85546875" style="970" bestFit="1" customWidth="1"/>
    <col min="5" max="5" width="15.28515625" style="970" bestFit="1" customWidth="1"/>
    <col min="6" max="6" width="2.5703125" style="970" customWidth="1"/>
    <col min="7" max="7" width="16.85546875" style="971" bestFit="1" customWidth="1"/>
    <col min="8" max="8" width="16.85546875" style="970" bestFit="1" customWidth="1"/>
    <col min="9" max="9" width="17.42578125" style="970" customWidth="1"/>
    <col min="10" max="10" width="16.85546875" style="970" bestFit="1" customWidth="1"/>
    <col min="11" max="11" width="16.140625" style="970" customWidth="1"/>
    <col min="12" max="12" width="16.85546875" style="970" bestFit="1" customWidth="1"/>
    <col min="13" max="13" width="14.7109375" style="970" bestFit="1" customWidth="1"/>
    <col min="14" max="15" width="11.42578125" style="970"/>
    <col min="16" max="16" width="14.140625" style="970" bestFit="1" customWidth="1"/>
    <col min="17" max="17" width="15.140625" style="970" bestFit="1" customWidth="1"/>
    <col min="18" max="16384" width="11.42578125" style="970"/>
  </cols>
  <sheetData>
    <row r="1" spans="1:15" s="178" customFormat="1" ht="13.5" thickBot="1" x14ac:dyDescent="0.25">
      <c r="A1" s="1105" t="s">
        <v>3376</v>
      </c>
      <c r="B1" s="1105"/>
      <c r="C1" s="1105"/>
      <c r="D1" s="1105"/>
      <c r="E1" s="1105"/>
      <c r="F1" s="995"/>
      <c r="G1" s="1104" t="s">
        <v>3377</v>
      </c>
      <c r="H1" s="1104"/>
      <c r="I1" s="1104"/>
      <c r="J1" s="1104"/>
      <c r="K1" s="1104"/>
      <c r="L1" s="1104"/>
    </row>
    <row r="2" spans="1:15" ht="26.25" thickBot="1" x14ac:dyDescent="0.25">
      <c r="A2" s="1006" t="s">
        <v>33</v>
      </c>
      <c r="B2" s="1007" t="s">
        <v>2357</v>
      </c>
      <c r="C2" s="1008" t="s">
        <v>34</v>
      </c>
      <c r="D2" s="1008" t="s">
        <v>531</v>
      </c>
      <c r="E2" s="1008" t="s">
        <v>35</v>
      </c>
      <c r="F2" s="1008"/>
      <c r="G2" s="1008" t="s">
        <v>695</v>
      </c>
      <c r="H2" s="1008" t="s">
        <v>85</v>
      </c>
      <c r="I2" s="1008" t="s">
        <v>696</v>
      </c>
      <c r="J2" s="1008" t="s">
        <v>531</v>
      </c>
      <c r="K2" s="1008" t="s">
        <v>694</v>
      </c>
      <c r="L2" s="1009" t="s">
        <v>35</v>
      </c>
    </row>
    <row r="3" spans="1:15" x14ac:dyDescent="0.2">
      <c r="A3" s="1">
        <v>2502</v>
      </c>
      <c r="B3" s="178" t="s">
        <v>4014</v>
      </c>
      <c r="C3" s="970">
        <v>0</v>
      </c>
      <c r="D3" s="970">
        <v>0</v>
      </c>
      <c r="E3" s="1010">
        <f t="shared" ref="E3:E66" si="0">C3-D3</f>
        <v>0</v>
      </c>
      <c r="F3" s="130"/>
      <c r="G3" s="970">
        <v>2168805.9500000002</v>
      </c>
      <c r="H3" s="970">
        <f>I3-G3</f>
        <v>0</v>
      </c>
      <c r="I3" s="970">
        <v>2168805.9500000002</v>
      </c>
      <c r="J3" s="970">
        <f t="shared" ref="J3:J66" si="1">D3</f>
        <v>0</v>
      </c>
      <c r="K3" s="970">
        <v>0</v>
      </c>
      <c r="L3" s="1010">
        <f>I3-J3-K3</f>
        <v>2168805.9500000002</v>
      </c>
    </row>
    <row r="4" spans="1:15" x14ac:dyDescent="0.2">
      <c r="A4" s="1">
        <v>2504</v>
      </c>
      <c r="B4" s="178" t="s">
        <v>4015</v>
      </c>
      <c r="C4" s="970">
        <v>13000000</v>
      </c>
      <c r="D4" s="970">
        <v>6847665.9500000002</v>
      </c>
      <c r="E4" s="1010">
        <f t="shared" si="0"/>
        <v>6152334.0499999998</v>
      </c>
      <c r="F4" s="130"/>
      <c r="G4" s="970">
        <v>2198573.0299999993</v>
      </c>
      <c r="H4" s="970">
        <f t="shared" ref="H4:H67" si="2">I4-G4</f>
        <v>5528401.0000000009</v>
      </c>
      <c r="I4" s="970">
        <v>7726974.0300000003</v>
      </c>
      <c r="J4" s="970">
        <f t="shared" si="1"/>
        <v>6847665.9500000002</v>
      </c>
      <c r="K4" s="970">
        <v>0</v>
      </c>
      <c r="L4" s="1010">
        <f t="shared" ref="L4:L67" si="3">I4-J4-K4</f>
        <v>879308.08000000007</v>
      </c>
      <c r="N4" s="217"/>
      <c r="O4" s="1"/>
    </row>
    <row r="5" spans="1:15" x14ac:dyDescent="0.2">
      <c r="A5" s="1">
        <v>2520</v>
      </c>
      <c r="B5" s="178" t="s">
        <v>4016</v>
      </c>
      <c r="C5" s="970">
        <v>0</v>
      </c>
      <c r="D5" s="970">
        <v>2007461.18</v>
      </c>
      <c r="E5" s="1010">
        <f t="shared" si="0"/>
        <v>-2007461.18</v>
      </c>
      <c r="F5" s="130"/>
      <c r="G5" s="970">
        <v>2500000</v>
      </c>
      <c r="H5" s="970">
        <f t="shared" si="2"/>
        <v>10037305.880000001</v>
      </c>
      <c r="I5" s="970">
        <v>12537305.880000001</v>
      </c>
      <c r="J5" s="970">
        <f t="shared" si="1"/>
        <v>2007461.18</v>
      </c>
      <c r="K5" s="970">
        <v>0</v>
      </c>
      <c r="L5" s="1010">
        <f t="shared" si="3"/>
        <v>10529844.700000001</v>
      </c>
      <c r="N5" s="217"/>
      <c r="O5" s="1"/>
    </row>
    <row r="6" spans="1:15" x14ac:dyDescent="0.2">
      <c r="A6" s="1">
        <v>2524</v>
      </c>
      <c r="B6" s="178" t="s">
        <v>4017</v>
      </c>
      <c r="C6" s="970">
        <v>0</v>
      </c>
      <c r="D6" s="970">
        <v>0</v>
      </c>
      <c r="E6" s="1010">
        <f t="shared" si="0"/>
        <v>0</v>
      </c>
      <c r="F6" s="130"/>
      <c r="G6" s="970">
        <v>3199378.4</v>
      </c>
      <c r="H6" s="970">
        <f t="shared" si="2"/>
        <v>0</v>
      </c>
      <c r="I6" s="970">
        <v>3199378.4</v>
      </c>
      <c r="J6" s="970">
        <f t="shared" si="1"/>
        <v>0</v>
      </c>
      <c r="K6" s="970">
        <v>0</v>
      </c>
      <c r="L6" s="1010">
        <f t="shared" si="3"/>
        <v>3199378.4</v>
      </c>
      <c r="N6" s="217"/>
      <c r="O6" s="1"/>
    </row>
    <row r="7" spans="1:15" x14ac:dyDescent="0.2">
      <c r="A7" s="1">
        <v>2525</v>
      </c>
      <c r="B7" s="178" t="s">
        <v>1142</v>
      </c>
      <c r="C7" s="970">
        <v>22408579.59</v>
      </c>
      <c r="D7" s="970">
        <v>4947796.5</v>
      </c>
      <c r="E7" s="1010">
        <f t="shared" si="0"/>
        <v>17460783.09</v>
      </c>
      <c r="F7" s="130"/>
      <c r="G7" s="970">
        <v>14708385.289999999</v>
      </c>
      <c r="H7" s="970">
        <f t="shared" si="2"/>
        <v>9192420</v>
      </c>
      <c r="I7" s="970">
        <v>23900805.289999999</v>
      </c>
      <c r="J7" s="970">
        <f t="shared" si="1"/>
        <v>4947796.5</v>
      </c>
      <c r="K7" s="970">
        <v>1100900</v>
      </c>
      <c r="L7" s="1010">
        <f t="shared" si="3"/>
        <v>17852108.789999999</v>
      </c>
      <c r="N7" s="217"/>
      <c r="O7" s="1"/>
    </row>
    <row r="8" spans="1:15" x14ac:dyDescent="0.2">
      <c r="A8" s="1">
        <v>2527</v>
      </c>
      <c r="B8" s="178" t="s">
        <v>2696</v>
      </c>
      <c r="C8" s="970">
        <v>7073141.4199999999</v>
      </c>
      <c r="D8" s="970">
        <v>203485</v>
      </c>
      <c r="E8" s="1010">
        <f t="shared" si="0"/>
        <v>6869656.4199999999</v>
      </c>
      <c r="F8" s="130"/>
      <c r="G8" s="970">
        <v>4444491.42</v>
      </c>
      <c r="H8" s="970">
        <f t="shared" si="2"/>
        <v>20000</v>
      </c>
      <c r="I8" s="970">
        <v>4464491.42</v>
      </c>
      <c r="J8" s="970">
        <f t="shared" si="1"/>
        <v>203485</v>
      </c>
      <c r="K8" s="970">
        <v>0</v>
      </c>
      <c r="L8" s="1010">
        <f t="shared" si="3"/>
        <v>4261006.42</v>
      </c>
      <c r="N8" s="217"/>
      <c r="O8" s="1"/>
    </row>
    <row r="9" spans="1:15" x14ac:dyDescent="0.2">
      <c r="A9" s="1">
        <v>2530</v>
      </c>
      <c r="B9" s="178" t="s">
        <v>4018</v>
      </c>
      <c r="C9" s="970">
        <v>22847493.5</v>
      </c>
      <c r="D9" s="970">
        <v>95835</v>
      </c>
      <c r="E9" s="1010">
        <f t="shared" si="0"/>
        <v>22751658.5</v>
      </c>
      <c r="F9" s="130"/>
      <c r="G9" s="970">
        <v>16039231.579999998</v>
      </c>
      <c r="H9" s="970">
        <f t="shared" si="2"/>
        <v>4232493.5</v>
      </c>
      <c r="I9" s="970">
        <v>20271725.079999998</v>
      </c>
      <c r="J9" s="970">
        <f t="shared" si="1"/>
        <v>95835</v>
      </c>
      <c r="K9" s="970">
        <v>3988658.5</v>
      </c>
      <c r="L9" s="1010">
        <f t="shared" si="3"/>
        <v>16187231.579999998</v>
      </c>
      <c r="N9" s="217"/>
      <c r="O9" s="1"/>
    </row>
    <row r="10" spans="1:15" x14ac:dyDescent="0.2">
      <c r="A10" s="1">
        <v>2531</v>
      </c>
      <c r="B10" s="178" t="s">
        <v>4019</v>
      </c>
      <c r="C10" s="970">
        <v>0</v>
      </c>
      <c r="D10" s="970">
        <v>0</v>
      </c>
      <c r="E10" s="1010">
        <f t="shared" si="0"/>
        <v>0</v>
      </c>
      <c r="F10" s="130"/>
      <c r="G10" s="970">
        <v>4040500.53</v>
      </c>
      <c r="H10" s="970">
        <f t="shared" si="2"/>
        <v>0</v>
      </c>
      <c r="I10" s="970">
        <v>4040500.53</v>
      </c>
      <c r="J10" s="970">
        <f t="shared" si="1"/>
        <v>0</v>
      </c>
      <c r="K10" s="970">
        <v>0</v>
      </c>
      <c r="L10" s="1010">
        <f t="shared" si="3"/>
        <v>4040500.53</v>
      </c>
      <c r="N10" s="217"/>
      <c r="O10" s="1"/>
    </row>
    <row r="11" spans="1:15" x14ac:dyDescent="0.2">
      <c r="A11" s="1">
        <v>2534</v>
      </c>
      <c r="B11" s="178" t="s">
        <v>4020</v>
      </c>
      <c r="C11" s="970">
        <v>0</v>
      </c>
      <c r="D11" s="970">
        <v>151570</v>
      </c>
      <c r="E11" s="1010">
        <f t="shared" si="0"/>
        <v>-151570</v>
      </c>
      <c r="F11" s="130"/>
      <c r="G11" s="970">
        <v>890974.37</v>
      </c>
      <c r="H11" s="970">
        <f t="shared" si="2"/>
        <v>757850.00000000012</v>
      </c>
      <c r="I11" s="970">
        <v>1648824.37</v>
      </c>
      <c r="J11" s="970">
        <f t="shared" si="1"/>
        <v>151570</v>
      </c>
      <c r="K11" s="970">
        <v>0</v>
      </c>
      <c r="L11" s="1010">
        <f t="shared" si="3"/>
        <v>1497254.37</v>
      </c>
      <c r="N11" s="217"/>
      <c r="O11" s="1"/>
    </row>
    <row r="12" spans="1:15" x14ac:dyDescent="0.2">
      <c r="A12" s="1">
        <v>2542</v>
      </c>
      <c r="B12" s="178" t="s">
        <v>4021</v>
      </c>
      <c r="C12" s="970">
        <v>0</v>
      </c>
      <c r="D12" s="970">
        <v>0</v>
      </c>
      <c r="E12" s="1010">
        <f t="shared" si="0"/>
        <v>0</v>
      </c>
      <c r="F12" s="130"/>
      <c r="G12" s="970">
        <v>2071453.45</v>
      </c>
      <c r="H12" s="970">
        <f t="shared" si="2"/>
        <v>0</v>
      </c>
      <c r="I12" s="970">
        <v>2071453.45</v>
      </c>
      <c r="J12" s="970">
        <f t="shared" si="1"/>
        <v>0</v>
      </c>
      <c r="K12" s="970">
        <v>0</v>
      </c>
      <c r="L12" s="1010">
        <f t="shared" si="3"/>
        <v>2071453.45</v>
      </c>
      <c r="N12" s="217"/>
      <c r="O12" s="1"/>
    </row>
    <row r="13" spans="1:15" x14ac:dyDescent="0.2">
      <c r="A13" s="1">
        <v>2546</v>
      </c>
      <c r="B13" s="178" t="s">
        <v>4022</v>
      </c>
      <c r="C13" s="970">
        <v>3437038</v>
      </c>
      <c r="D13" s="970">
        <v>543535</v>
      </c>
      <c r="E13" s="1010">
        <f t="shared" si="0"/>
        <v>2893503</v>
      </c>
      <c r="F13" s="130"/>
      <c r="G13" s="970">
        <v>3248638.29</v>
      </c>
      <c r="H13" s="970">
        <f t="shared" si="2"/>
        <v>252000</v>
      </c>
      <c r="I13" s="970">
        <v>3500638.29</v>
      </c>
      <c r="J13" s="970">
        <f t="shared" si="1"/>
        <v>543535</v>
      </c>
      <c r="K13" s="970">
        <v>0</v>
      </c>
      <c r="L13" s="1010">
        <f t="shared" si="3"/>
        <v>2957103.29</v>
      </c>
      <c r="N13" s="217"/>
      <c r="O13" s="1"/>
    </row>
    <row r="14" spans="1:15" x14ac:dyDescent="0.2">
      <c r="A14" s="1">
        <v>2547</v>
      </c>
      <c r="B14" s="178" t="s">
        <v>4023</v>
      </c>
      <c r="C14" s="970">
        <v>0</v>
      </c>
      <c r="D14" s="970">
        <v>0</v>
      </c>
      <c r="E14" s="1010">
        <f t="shared" si="0"/>
        <v>0</v>
      </c>
      <c r="F14" s="130"/>
      <c r="G14" s="970">
        <v>57200</v>
      </c>
      <c r="H14" s="970">
        <f t="shared" si="2"/>
        <v>0</v>
      </c>
      <c r="I14" s="970">
        <v>57200</v>
      </c>
      <c r="J14" s="970">
        <f t="shared" si="1"/>
        <v>0</v>
      </c>
      <c r="K14" s="970">
        <v>0</v>
      </c>
      <c r="L14" s="1010">
        <f t="shared" si="3"/>
        <v>57200</v>
      </c>
      <c r="N14" s="217"/>
      <c r="O14" s="1"/>
    </row>
    <row r="15" spans="1:15" x14ac:dyDescent="0.2">
      <c r="A15" s="1">
        <v>2550</v>
      </c>
      <c r="B15" s="178" t="s">
        <v>4024</v>
      </c>
      <c r="C15" s="970">
        <v>0</v>
      </c>
      <c r="D15" s="970">
        <v>0</v>
      </c>
      <c r="E15" s="1010">
        <f t="shared" si="0"/>
        <v>0</v>
      </c>
      <c r="F15" s="130"/>
      <c r="G15" s="970">
        <v>5744782.9500000002</v>
      </c>
      <c r="H15" s="970">
        <f t="shared" si="2"/>
        <v>1492554.9799999995</v>
      </c>
      <c r="I15" s="970">
        <v>7237337.9299999997</v>
      </c>
      <c r="J15" s="970">
        <f t="shared" si="1"/>
        <v>0</v>
      </c>
      <c r="K15" s="970">
        <v>0</v>
      </c>
      <c r="L15" s="1010">
        <f t="shared" si="3"/>
        <v>7237337.9299999997</v>
      </c>
      <c r="N15" s="217"/>
      <c r="O15" s="1"/>
    </row>
    <row r="16" spans="1:15" x14ac:dyDescent="0.2">
      <c r="A16" s="1">
        <v>2551</v>
      </c>
      <c r="B16" s="178" t="s">
        <v>4025</v>
      </c>
      <c r="C16" s="970">
        <v>377994282.89999998</v>
      </c>
      <c r="D16" s="970">
        <v>103071058.23</v>
      </c>
      <c r="E16" s="1010">
        <f t="shared" si="0"/>
        <v>274923224.66999996</v>
      </c>
      <c r="F16" s="130"/>
      <c r="G16" s="970">
        <v>5682384.1799999829</v>
      </c>
      <c r="H16" s="970">
        <f t="shared" si="2"/>
        <v>122712554.60000002</v>
      </c>
      <c r="I16" s="970">
        <v>128394938.78</v>
      </c>
      <c r="J16" s="970">
        <f t="shared" si="1"/>
        <v>103071058.23</v>
      </c>
      <c r="K16" s="970">
        <v>20985380.420000002</v>
      </c>
      <c r="L16" s="1010">
        <f t="shared" si="3"/>
        <v>4338500.1299999952</v>
      </c>
      <c r="N16" s="217"/>
      <c r="O16" s="1"/>
    </row>
    <row r="17" spans="1:15" x14ac:dyDescent="0.2">
      <c r="A17" s="1">
        <v>2552</v>
      </c>
      <c r="B17" s="178" t="s">
        <v>4026</v>
      </c>
      <c r="C17" s="970">
        <v>12606308.880000001</v>
      </c>
      <c r="D17" s="970">
        <v>1126240</v>
      </c>
      <c r="E17" s="1010">
        <f t="shared" si="0"/>
        <v>11480068.880000001</v>
      </c>
      <c r="F17" s="130"/>
      <c r="G17" s="970">
        <v>7536341.3800000008</v>
      </c>
      <c r="H17" s="970">
        <f t="shared" si="2"/>
        <v>5654167.5</v>
      </c>
      <c r="I17" s="970">
        <v>13190508.880000001</v>
      </c>
      <c r="J17" s="970">
        <f t="shared" si="1"/>
        <v>1126240</v>
      </c>
      <c r="K17" s="970">
        <v>0</v>
      </c>
      <c r="L17" s="1010">
        <f t="shared" si="3"/>
        <v>12064268.880000001</v>
      </c>
      <c r="N17" s="217"/>
      <c r="O17" s="1"/>
    </row>
    <row r="18" spans="1:15" x14ac:dyDescent="0.2">
      <c r="A18" s="1">
        <v>2554</v>
      </c>
      <c r="B18" s="178" t="s">
        <v>4027</v>
      </c>
      <c r="C18" s="970">
        <v>4446848.6500000004</v>
      </c>
      <c r="D18" s="970">
        <v>2062552</v>
      </c>
      <c r="E18" s="1010">
        <f t="shared" si="0"/>
        <v>2384296.6500000004</v>
      </c>
      <c r="F18" s="130"/>
      <c r="G18" s="970">
        <v>1673918.6300000004</v>
      </c>
      <c r="H18" s="970">
        <f t="shared" si="2"/>
        <v>1741648.6499999994</v>
      </c>
      <c r="I18" s="970">
        <v>3415567.28</v>
      </c>
      <c r="J18" s="970">
        <f t="shared" si="1"/>
        <v>2062552</v>
      </c>
      <c r="K18" s="970">
        <v>0</v>
      </c>
      <c r="L18" s="1010">
        <f t="shared" si="3"/>
        <v>1353015.2799999998</v>
      </c>
      <c r="N18" s="217"/>
      <c r="O18" s="1"/>
    </row>
    <row r="19" spans="1:15" x14ac:dyDescent="0.2">
      <c r="A19" s="1">
        <v>2555</v>
      </c>
      <c r="B19" s="178" t="s">
        <v>4028</v>
      </c>
      <c r="C19" s="970">
        <v>0</v>
      </c>
      <c r="D19" s="970">
        <v>0</v>
      </c>
      <c r="E19" s="1010">
        <f t="shared" si="0"/>
        <v>0</v>
      </c>
      <c r="F19" s="130"/>
      <c r="G19" s="970">
        <v>45294046.819999993</v>
      </c>
      <c r="H19" s="970">
        <f t="shared" si="2"/>
        <v>0</v>
      </c>
      <c r="I19" s="970">
        <v>45294046.82</v>
      </c>
      <c r="J19" s="970">
        <f t="shared" si="1"/>
        <v>0</v>
      </c>
      <c r="K19" s="970">
        <v>0</v>
      </c>
      <c r="L19" s="1010">
        <f t="shared" si="3"/>
        <v>45294046.82</v>
      </c>
      <c r="N19" s="217"/>
      <c r="O19" s="1"/>
    </row>
    <row r="20" spans="1:15" x14ac:dyDescent="0.2">
      <c r="A20" s="1">
        <v>2557</v>
      </c>
      <c r="B20" s="178" t="s">
        <v>4029</v>
      </c>
      <c r="C20" s="970">
        <v>0</v>
      </c>
      <c r="D20" s="970">
        <v>7260.83</v>
      </c>
      <c r="E20" s="1010">
        <f t="shared" si="0"/>
        <v>-7260.83</v>
      </c>
      <c r="F20" s="130"/>
      <c r="G20" s="970">
        <v>1864759.29</v>
      </c>
      <c r="H20" s="970">
        <f t="shared" si="2"/>
        <v>36304.169999999925</v>
      </c>
      <c r="I20" s="970">
        <v>1901063.46</v>
      </c>
      <c r="J20" s="970">
        <f t="shared" si="1"/>
        <v>7260.83</v>
      </c>
      <c r="K20" s="970">
        <v>0</v>
      </c>
      <c r="L20" s="1010">
        <f t="shared" si="3"/>
        <v>1893802.63</v>
      </c>
      <c r="N20" s="217"/>
      <c r="O20" s="1"/>
    </row>
    <row r="21" spans="1:15" x14ac:dyDescent="0.2">
      <c r="A21" s="1">
        <v>2559</v>
      </c>
      <c r="B21" s="178" t="s">
        <v>4030</v>
      </c>
      <c r="C21" s="970">
        <v>16476088.050000001</v>
      </c>
      <c r="D21" s="970">
        <v>812425</v>
      </c>
      <c r="E21" s="1010">
        <f t="shared" si="0"/>
        <v>15663663.050000001</v>
      </c>
      <c r="F21" s="130"/>
      <c r="G21" s="970">
        <v>17842261.150000002</v>
      </c>
      <c r="H21" s="970">
        <f t="shared" si="2"/>
        <v>735499.99999999627</v>
      </c>
      <c r="I21" s="970">
        <v>18577761.149999999</v>
      </c>
      <c r="J21" s="970">
        <f t="shared" si="1"/>
        <v>812425</v>
      </c>
      <c r="K21" s="970">
        <v>0</v>
      </c>
      <c r="L21" s="1010">
        <f t="shared" si="3"/>
        <v>17765336.149999999</v>
      </c>
      <c r="N21" s="217"/>
      <c r="O21" s="1"/>
    </row>
    <row r="22" spans="1:15" x14ac:dyDescent="0.2">
      <c r="A22" s="1">
        <v>2562</v>
      </c>
      <c r="B22" s="178" t="s">
        <v>398</v>
      </c>
      <c r="C22" s="970">
        <v>0</v>
      </c>
      <c r="D22" s="970">
        <v>0</v>
      </c>
      <c r="E22" s="1010">
        <f t="shared" si="0"/>
        <v>0</v>
      </c>
      <c r="F22" s="130"/>
      <c r="G22" s="970">
        <v>1964968.95</v>
      </c>
      <c r="H22" s="970">
        <f t="shared" si="2"/>
        <v>0</v>
      </c>
      <c r="I22" s="970">
        <v>1964968.95</v>
      </c>
      <c r="J22" s="970">
        <f t="shared" si="1"/>
        <v>0</v>
      </c>
      <c r="K22" s="970">
        <v>0</v>
      </c>
      <c r="L22" s="1010">
        <f t="shared" si="3"/>
        <v>1964968.95</v>
      </c>
      <c r="N22" s="217"/>
      <c r="O22" s="1"/>
    </row>
    <row r="23" spans="1:15" x14ac:dyDescent="0.2">
      <c r="A23" s="1">
        <v>2563</v>
      </c>
      <c r="B23" s="178" t="s">
        <v>4031</v>
      </c>
      <c r="C23" s="970">
        <v>0</v>
      </c>
      <c r="D23" s="970">
        <v>0</v>
      </c>
      <c r="E23" s="1010">
        <f t="shared" si="0"/>
        <v>0</v>
      </c>
      <c r="F23" s="130"/>
      <c r="G23" s="970">
        <v>49655.47</v>
      </c>
      <c r="H23" s="970">
        <f t="shared" si="2"/>
        <v>0</v>
      </c>
      <c r="I23" s="970">
        <v>49655.47</v>
      </c>
      <c r="J23" s="970">
        <f t="shared" si="1"/>
        <v>0</v>
      </c>
      <c r="K23" s="970">
        <v>0</v>
      </c>
      <c r="L23" s="1010">
        <f t="shared" si="3"/>
        <v>49655.47</v>
      </c>
      <c r="N23" s="217"/>
      <c r="O23" s="1"/>
    </row>
    <row r="24" spans="1:15" x14ac:dyDescent="0.2">
      <c r="A24" s="1">
        <v>2564</v>
      </c>
      <c r="B24" s="178" t="s">
        <v>1356</v>
      </c>
      <c r="C24" s="970">
        <v>70692.98</v>
      </c>
      <c r="D24" s="970">
        <v>70692</v>
      </c>
      <c r="E24" s="1010">
        <f t="shared" si="0"/>
        <v>0.97999999999592546</v>
      </c>
      <c r="F24" s="130"/>
      <c r="G24" s="970">
        <v>70692.98000000001</v>
      </c>
      <c r="H24" s="970">
        <f t="shared" si="2"/>
        <v>0</v>
      </c>
      <c r="I24" s="970">
        <v>70692.98</v>
      </c>
      <c r="J24" s="970">
        <f t="shared" si="1"/>
        <v>70692</v>
      </c>
      <c r="K24" s="970">
        <v>0</v>
      </c>
      <c r="L24" s="1010">
        <f t="shared" si="3"/>
        <v>0.97999999999592546</v>
      </c>
      <c r="N24" s="217"/>
      <c r="O24" s="1"/>
    </row>
    <row r="25" spans="1:15" x14ac:dyDescent="0.2">
      <c r="A25" s="1">
        <v>2580</v>
      </c>
      <c r="B25" s="178" t="s">
        <v>4032</v>
      </c>
      <c r="C25" s="970">
        <v>118161557.75</v>
      </c>
      <c r="D25" s="970">
        <v>7044419.1699999999</v>
      </c>
      <c r="E25" s="1010">
        <f t="shared" si="0"/>
        <v>111117138.58</v>
      </c>
      <c r="F25" s="130"/>
      <c r="G25" s="970">
        <v>0</v>
      </c>
      <c r="H25" s="970">
        <f t="shared" si="2"/>
        <v>66290784.140000001</v>
      </c>
      <c r="I25" s="970">
        <v>66290784.140000001</v>
      </c>
      <c r="J25" s="970">
        <f t="shared" si="1"/>
        <v>7044419.1699999999</v>
      </c>
      <c r="K25" s="970">
        <v>29964182.75</v>
      </c>
      <c r="L25" s="1010">
        <f t="shared" si="3"/>
        <v>29282182.219999999</v>
      </c>
      <c r="N25" s="217"/>
      <c r="O25" s="1"/>
    </row>
    <row r="26" spans="1:15" x14ac:dyDescent="0.2">
      <c r="A26" s="1">
        <v>2601</v>
      </c>
      <c r="B26" s="178" t="s">
        <v>810</v>
      </c>
      <c r="C26" s="970">
        <v>13915499.9</v>
      </c>
      <c r="D26" s="970">
        <v>3715320.89</v>
      </c>
      <c r="E26" s="1010">
        <f t="shared" si="0"/>
        <v>10200179.01</v>
      </c>
      <c r="F26" s="130"/>
      <c r="G26" s="970">
        <v>5234670.1000000015</v>
      </c>
      <c r="H26" s="970">
        <f t="shared" si="2"/>
        <v>6675699.9999999981</v>
      </c>
      <c r="I26" s="970">
        <v>11910370.1</v>
      </c>
      <c r="J26" s="970">
        <f t="shared" si="1"/>
        <v>3715320.89</v>
      </c>
      <c r="K26" s="970">
        <v>1120722</v>
      </c>
      <c r="L26" s="1010">
        <f t="shared" si="3"/>
        <v>7074327.209999999</v>
      </c>
      <c r="N26" s="217"/>
      <c r="O26" s="1"/>
    </row>
    <row r="27" spans="1:15" x14ac:dyDescent="0.2">
      <c r="A27" s="1">
        <v>2604</v>
      </c>
      <c r="B27" s="178" t="s">
        <v>4033</v>
      </c>
      <c r="C27" s="970">
        <v>381351542.45999998</v>
      </c>
      <c r="D27" s="970">
        <v>58706012.530000001</v>
      </c>
      <c r="E27" s="1010">
        <f t="shared" si="0"/>
        <v>322645529.92999995</v>
      </c>
      <c r="F27" s="130"/>
      <c r="G27" s="970">
        <v>186810388.21000001</v>
      </c>
      <c r="H27" s="970">
        <f t="shared" si="2"/>
        <v>3728971.0499999821</v>
      </c>
      <c r="I27" s="970">
        <v>190539359.25999999</v>
      </c>
      <c r="J27" s="970">
        <f t="shared" si="1"/>
        <v>58706012.530000001</v>
      </c>
      <c r="K27" s="970">
        <v>2168917.65</v>
      </c>
      <c r="L27" s="1010">
        <f t="shared" si="3"/>
        <v>129664429.07999998</v>
      </c>
      <c r="N27" s="217"/>
      <c r="O27" s="1"/>
    </row>
    <row r="28" spans="1:15" x14ac:dyDescent="0.2">
      <c r="A28" s="1">
        <v>2610</v>
      </c>
      <c r="B28" s="178" t="s">
        <v>4034</v>
      </c>
      <c r="C28" s="970">
        <v>23870803.899999999</v>
      </c>
      <c r="D28" s="970">
        <v>6135149.2999999998</v>
      </c>
      <c r="E28" s="1010">
        <f t="shared" si="0"/>
        <v>17735654.599999998</v>
      </c>
      <c r="F28" s="130"/>
      <c r="G28" s="970">
        <v>9110865.1499999985</v>
      </c>
      <c r="H28" s="970">
        <f t="shared" si="2"/>
        <v>15155561.240000002</v>
      </c>
      <c r="I28" s="970">
        <v>24266426.390000001</v>
      </c>
      <c r="J28" s="970">
        <f t="shared" si="1"/>
        <v>6135149.2999999998</v>
      </c>
      <c r="K28" s="970">
        <v>11000000</v>
      </c>
      <c r="L28" s="1010">
        <f t="shared" si="3"/>
        <v>7131277.0899999999</v>
      </c>
      <c r="N28" s="217"/>
      <c r="O28" s="1"/>
    </row>
    <row r="29" spans="1:15" x14ac:dyDescent="0.2">
      <c r="A29" s="1">
        <v>2611</v>
      </c>
      <c r="B29" s="178" t="s">
        <v>1469</v>
      </c>
      <c r="C29" s="970">
        <v>1175633.6100000001</v>
      </c>
      <c r="D29" s="970">
        <v>203032.9</v>
      </c>
      <c r="E29" s="1010">
        <f t="shared" si="0"/>
        <v>972600.71000000008</v>
      </c>
      <c r="F29" s="130"/>
      <c r="G29" s="970">
        <v>1190185.6000000001</v>
      </c>
      <c r="H29" s="970">
        <f t="shared" si="2"/>
        <v>2500</v>
      </c>
      <c r="I29" s="970">
        <v>1192685.6000000001</v>
      </c>
      <c r="J29" s="970">
        <f t="shared" si="1"/>
        <v>203032.9</v>
      </c>
      <c r="K29" s="970">
        <v>0</v>
      </c>
      <c r="L29" s="1010">
        <f t="shared" si="3"/>
        <v>989652.70000000007</v>
      </c>
      <c r="N29" s="217"/>
      <c r="O29" s="1"/>
    </row>
    <row r="30" spans="1:15" x14ac:dyDescent="0.2">
      <c r="A30" s="1">
        <v>2616</v>
      </c>
      <c r="B30" s="178" t="s">
        <v>4035</v>
      </c>
      <c r="C30" s="970">
        <v>37208588.090000004</v>
      </c>
      <c r="D30" s="970">
        <v>2250899.7000000002</v>
      </c>
      <c r="E30" s="1010">
        <f t="shared" si="0"/>
        <v>34957688.390000001</v>
      </c>
      <c r="F30" s="130"/>
      <c r="G30" s="970">
        <v>34958588.090000004</v>
      </c>
      <c r="H30" s="970">
        <f t="shared" si="2"/>
        <v>2543768</v>
      </c>
      <c r="I30" s="970">
        <v>37502356.090000004</v>
      </c>
      <c r="J30" s="970">
        <f t="shared" si="1"/>
        <v>2250899.7000000002</v>
      </c>
      <c r="K30" s="970">
        <v>0</v>
      </c>
      <c r="L30" s="1010">
        <f t="shared" si="3"/>
        <v>35251456.390000001</v>
      </c>
      <c r="N30" s="217"/>
      <c r="O30" s="1"/>
    </row>
    <row r="31" spans="1:15" x14ac:dyDescent="0.2">
      <c r="A31" s="1">
        <v>2618</v>
      </c>
      <c r="B31" s="178" t="s">
        <v>4036</v>
      </c>
      <c r="C31" s="970">
        <v>143138928.99000001</v>
      </c>
      <c r="D31" s="970">
        <v>10565902.300000001</v>
      </c>
      <c r="E31" s="1010">
        <f t="shared" si="0"/>
        <v>132573026.69000001</v>
      </c>
      <c r="F31" s="130"/>
      <c r="G31" s="970">
        <v>81906222.99000001</v>
      </c>
      <c r="H31" s="970">
        <f t="shared" si="2"/>
        <v>44291466.949999988</v>
      </c>
      <c r="I31" s="970">
        <v>126197689.94</v>
      </c>
      <c r="J31" s="970">
        <f t="shared" si="1"/>
        <v>10565902.300000001</v>
      </c>
      <c r="K31" s="970">
        <v>619391.44999999995</v>
      </c>
      <c r="L31" s="1010">
        <f t="shared" si="3"/>
        <v>115012396.19</v>
      </c>
      <c r="N31" s="217"/>
      <c r="O31" s="1"/>
    </row>
    <row r="32" spans="1:15" x14ac:dyDescent="0.2">
      <c r="A32" s="1">
        <v>2619</v>
      </c>
      <c r="B32" s="178" t="s">
        <v>902</v>
      </c>
      <c r="C32" s="970">
        <v>10304923.539999999</v>
      </c>
      <c r="D32" s="970">
        <v>62096.05</v>
      </c>
      <c r="E32" s="1010">
        <f t="shared" si="0"/>
        <v>10242827.489999998</v>
      </c>
      <c r="F32" s="130"/>
      <c r="G32" s="970">
        <v>9674923.5399999991</v>
      </c>
      <c r="H32" s="970">
        <f t="shared" si="2"/>
        <v>460921</v>
      </c>
      <c r="I32" s="970">
        <v>10135844.539999999</v>
      </c>
      <c r="J32" s="970">
        <f t="shared" si="1"/>
        <v>62096.05</v>
      </c>
      <c r="K32" s="970">
        <v>0</v>
      </c>
      <c r="L32" s="1010">
        <f t="shared" si="3"/>
        <v>10073748.489999998</v>
      </c>
      <c r="N32" s="217"/>
      <c r="O32" s="1"/>
    </row>
    <row r="33" spans="1:15" x14ac:dyDescent="0.2">
      <c r="A33" s="1">
        <v>2620</v>
      </c>
      <c r="B33" s="178" t="s">
        <v>4037</v>
      </c>
      <c r="C33" s="970">
        <v>13906048.98</v>
      </c>
      <c r="D33" s="970">
        <v>4683243.22</v>
      </c>
      <c r="E33" s="1010">
        <f t="shared" si="0"/>
        <v>9222805.7600000016</v>
      </c>
      <c r="F33" s="130"/>
      <c r="G33" s="970">
        <v>1981423.1599999983</v>
      </c>
      <c r="H33" s="970">
        <f t="shared" si="2"/>
        <v>3812846.0000000019</v>
      </c>
      <c r="I33" s="970">
        <v>5794269.1600000001</v>
      </c>
      <c r="J33" s="970">
        <f t="shared" si="1"/>
        <v>4683243.22</v>
      </c>
      <c r="K33" s="970">
        <v>0</v>
      </c>
      <c r="L33" s="1010">
        <f t="shared" si="3"/>
        <v>1111025.9400000004</v>
      </c>
      <c r="N33" s="217"/>
      <c r="O33" s="1"/>
    </row>
    <row r="34" spans="1:15" x14ac:dyDescent="0.2">
      <c r="A34" s="1">
        <v>2621</v>
      </c>
      <c r="B34" s="178" t="s">
        <v>4038</v>
      </c>
      <c r="C34" s="970">
        <v>0</v>
      </c>
      <c r="D34" s="970">
        <v>0</v>
      </c>
      <c r="E34" s="1010">
        <f t="shared" si="0"/>
        <v>0</v>
      </c>
      <c r="F34" s="130"/>
      <c r="G34" s="970">
        <v>3452073.51</v>
      </c>
      <c r="H34" s="970">
        <f t="shared" si="2"/>
        <v>0</v>
      </c>
      <c r="I34" s="970">
        <v>3452073.51</v>
      </c>
      <c r="J34" s="970">
        <f t="shared" si="1"/>
        <v>0</v>
      </c>
      <c r="K34" s="970">
        <v>0</v>
      </c>
      <c r="L34" s="1010">
        <f t="shared" si="3"/>
        <v>3452073.51</v>
      </c>
      <c r="N34" s="217"/>
      <c r="O34" s="1"/>
    </row>
    <row r="35" spans="1:15" x14ac:dyDescent="0.2">
      <c r="A35" s="1">
        <v>2622</v>
      </c>
      <c r="B35" s="178" t="s">
        <v>4039</v>
      </c>
      <c r="C35" s="970">
        <v>8000000</v>
      </c>
      <c r="D35" s="970">
        <v>569010.96</v>
      </c>
      <c r="E35" s="1010">
        <f t="shared" si="0"/>
        <v>7430989.04</v>
      </c>
      <c r="F35" s="130"/>
      <c r="G35" s="970">
        <v>0</v>
      </c>
      <c r="H35" s="970">
        <f t="shared" si="2"/>
        <v>2849254.78</v>
      </c>
      <c r="I35" s="970">
        <v>2849254.78</v>
      </c>
      <c r="J35" s="970">
        <f t="shared" si="1"/>
        <v>569010.96</v>
      </c>
      <c r="K35" s="970">
        <v>0</v>
      </c>
      <c r="L35" s="1010">
        <f t="shared" si="3"/>
        <v>2280243.8199999998</v>
      </c>
      <c r="N35" s="217"/>
      <c r="O35" s="1"/>
    </row>
    <row r="36" spans="1:15" x14ac:dyDescent="0.2">
      <c r="A36" s="1">
        <v>2626</v>
      </c>
      <c r="B36" s="178" t="s">
        <v>908</v>
      </c>
      <c r="C36" s="970">
        <v>0</v>
      </c>
      <c r="D36" s="970">
        <v>182889.25</v>
      </c>
      <c r="E36" s="1010">
        <f t="shared" si="0"/>
        <v>-182889.25</v>
      </c>
      <c r="F36" s="130"/>
      <c r="G36" s="970">
        <v>7727698.04</v>
      </c>
      <c r="H36" s="970">
        <f t="shared" si="2"/>
        <v>920686.24999999907</v>
      </c>
      <c r="I36" s="970">
        <v>8648384.2899999991</v>
      </c>
      <c r="J36" s="970">
        <f t="shared" si="1"/>
        <v>182889.25</v>
      </c>
      <c r="K36" s="970">
        <v>0</v>
      </c>
      <c r="L36" s="1010">
        <f t="shared" si="3"/>
        <v>8465495.0399999991</v>
      </c>
      <c r="N36" s="217"/>
      <c r="O36" s="1"/>
    </row>
    <row r="37" spans="1:15" x14ac:dyDescent="0.2">
      <c r="A37" s="1">
        <v>2629</v>
      </c>
      <c r="B37" s="178" t="s">
        <v>4040</v>
      </c>
      <c r="C37" s="970">
        <v>0</v>
      </c>
      <c r="D37" s="970">
        <v>0</v>
      </c>
      <c r="E37" s="1010">
        <f t="shared" si="0"/>
        <v>0</v>
      </c>
      <c r="F37" s="130"/>
      <c r="G37" s="970">
        <v>806125.6</v>
      </c>
      <c r="H37" s="970">
        <f t="shared" si="2"/>
        <v>0</v>
      </c>
      <c r="I37" s="970">
        <v>806125.6</v>
      </c>
      <c r="J37" s="970">
        <f t="shared" si="1"/>
        <v>0</v>
      </c>
      <c r="K37" s="970">
        <v>0</v>
      </c>
      <c r="L37" s="1010">
        <f t="shared" si="3"/>
        <v>806125.6</v>
      </c>
      <c r="N37" s="217"/>
      <c r="O37" s="1"/>
    </row>
    <row r="38" spans="1:15" x14ac:dyDescent="0.2">
      <c r="A38" s="1">
        <v>2630</v>
      </c>
      <c r="B38" s="178" t="s">
        <v>4041</v>
      </c>
      <c r="C38" s="970">
        <v>13852515.109999999</v>
      </c>
      <c r="D38" s="970">
        <v>3347034.2</v>
      </c>
      <c r="E38" s="1010">
        <f t="shared" si="0"/>
        <v>10505480.91</v>
      </c>
      <c r="F38" s="130"/>
      <c r="G38" s="970">
        <v>6029178.8199999994</v>
      </c>
      <c r="H38" s="970">
        <f t="shared" si="2"/>
        <v>7010770.0000000009</v>
      </c>
      <c r="I38" s="970">
        <v>13039948.82</v>
      </c>
      <c r="J38" s="970">
        <f t="shared" si="1"/>
        <v>3347034.2</v>
      </c>
      <c r="K38" s="970">
        <v>0</v>
      </c>
      <c r="L38" s="1010">
        <f t="shared" si="3"/>
        <v>9692914.620000001</v>
      </c>
      <c r="N38" s="217"/>
      <c r="O38" s="1"/>
    </row>
    <row r="39" spans="1:15" x14ac:dyDescent="0.2">
      <c r="A39" s="1">
        <v>2632</v>
      </c>
      <c r="B39" s="178" t="s">
        <v>4042</v>
      </c>
      <c r="C39" s="970">
        <v>0</v>
      </c>
      <c r="D39" s="970">
        <v>400</v>
      </c>
      <c r="E39" s="1010">
        <f t="shared" si="0"/>
        <v>-400</v>
      </c>
      <c r="F39" s="130"/>
      <c r="G39" s="970">
        <v>20732307.559999999</v>
      </c>
      <c r="H39" s="970">
        <f t="shared" si="2"/>
        <v>2000</v>
      </c>
      <c r="I39" s="970">
        <v>20734307.559999999</v>
      </c>
      <c r="J39" s="970">
        <f t="shared" si="1"/>
        <v>400</v>
      </c>
      <c r="K39" s="970">
        <v>0</v>
      </c>
      <c r="L39" s="1010">
        <f t="shared" si="3"/>
        <v>20733907.559999999</v>
      </c>
      <c r="N39" s="217"/>
      <c r="O39" s="1"/>
    </row>
    <row r="40" spans="1:15" x14ac:dyDescent="0.2">
      <c r="A40" s="1">
        <v>2634</v>
      </c>
      <c r="B40" s="178" t="s">
        <v>4043</v>
      </c>
      <c r="C40" s="970">
        <v>56458715.200000003</v>
      </c>
      <c r="D40" s="970">
        <v>12904049.609999999</v>
      </c>
      <c r="E40" s="1010">
        <f t="shared" si="0"/>
        <v>43554665.590000004</v>
      </c>
      <c r="F40" s="130"/>
      <c r="G40" s="970">
        <v>9632105.8299999963</v>
      </c>
      <c r="H40" s="970">
        <f t="shared" si="2"/>
        <v>28606541.450000003</v>
      </c>
      <c r="I40" s="970">
        <v>38238647.280000001</v>
      </c>
      <c r="J40" s="970">
        <f t="shared" si="1"/>
        <v>12904049.609999999</v>
      </c>
      <c r="K40" s="970">
        <v>1992176.96</v>
      </c>
      <c r="L40" s="1010">
        <f t="shared" si="3"/>
        <v>23342420.710000001</v>
      </c>
      <c r="N40" s="217"/>
      <c r="O40" s="1"/>
    </row>
    <row r="41" spans="1:15" x14ac:dyDescent="0.2">
      <c r="A41" s="1">
        <v>2635</v>
      </c>
      <c r="B41" s="178" t="s">
        <v>4044</v>
      </c>
      <c r="C41" s="970">
        <v>0</v>
      </c>
      <c r="D41" s="970">
        <v>0</v>
      </c>
      <c r="E41" s="1010">
        <f t="shared" si="0"/>
        <v>0</v>
      </c>
      <c r="F41" s="130"/>
      <c r="G41" s="970">
        <v>142463.6</v>
      </c>
      <c r="H41" s="970">
        <f t="shared" si="2"/>
        <v>0</v>
      </c>
      <c r="I41" s="970">
        <v>142463.6</v>
      </c>
      <c r="J41" s="970">
        <f t="shared" si="1"/>
        <v>0</v>
      </c>
      <c r="K41" s="970">
        <v>0</v>
      </c>
      <c r="L41" s="1010">
        <f t="shared" si="3"/>
        <v>142463.6</v>
      </c>
      <c r="N41" s="217"/>
      <c r="O41" s="1"/>
    </row>
    <row r="42" spans="1:15" x14ac:dyDescent="0.2">
      <c r="A42" s="1">
        <v>2645</v>
      </c>
      <c r="B42" s="178" t="s">
        <v>150</v>
      </c>
      <c r="C42" s="970">
        <v>45110543.75</v>
      </c>
      <c r="D42" s="970">
        <v>29188290.07</v>
      </c>
      <c r="E42" s="1010">
        <f t="shared" si="0"/>
        <v>15922253.68</v>
      </c>
      <c r="F42" s="130"/>
      <c r="G42" s="970">
        <v>13491868.140000002</v>
      </c>
      <c r="H42" s="970">
        <f t="shared" si="2"/>
        <v>23152394.689999998</v>
      </c>
      <c r="I42" s="970">
        <v>36644262.829999998</v>
      </c>
      <c r="J42" s="970">
        <f t="shared" si="1"/>
        <v>29188290.07</v>
      </c>
      <c r="K42" s="970">
        <v>1768500.6</v>
      </c>
      <c r="L42" s="1010">
        <f t="shared" si="3"/>
        <v>5687472.1599999983</v>
      </c>
      <c r="N42" s="217"/>
      <c r="O42" s="1"/>
    </row>
    <row r="43" spans="1:15" x14ac:dyDescent="0.2">
      <c r="A43" s="1">
        <v>2647</v>
      </c>
      <c r="B43" s="178" t="s">
        <v>4045</v>
      </c>
      <c r="C43" s="970">
        <v>0</v>
      </c>
      <c r="D43" s="970">
        <v>0</v>
      </c>
      <c r="E43" s="1010">
        <f t="shared" si="0"/>
        <v>0</v>
      </c>
      <c r="F43" s="130"/>
      <c r="G43" s="970">
        <v>584568.4</v>
      </c>
      <c r="H43" s="970">
        <f t="shared" si="2"/>
        <v>-584568.4</v>
      </c>
      <c r="I43" s="970">
        <v>0</v>
      </c>
      <c r="J43" s="970">
        <f t="shared" si="1"/>
        <v>0</v>
      </c>
      <c r="K43" s="970">
        <v>0</v>
      </c>
      <c r="L43" s="1010">
        <f t="shared" si="3"/>
        <v>0</v>
      </c>
      <c r="N43" s="217"/>
      <c r="O43" s="1"/>
    </row>
    <row r="44" spans="1:15" x14ac:dyDescent="0.2">
      <c r="A44" s="1">
        <v>2650</v>
      </c>
      <c r="B44" s="178" t="s">
        <v>4046</v>
      </c>
      <c r="C44" s="970">
        <v>43918000</v>
      </c>
      <c r="D44" s="970">
        <v>13841351.76</v>
      </c>
      <c r="E44" s="1010">
        <f t="shared" si="0"/>
        <v>30076648.240000002</v>
      </c>
      <c r="F44" s="130"/>
      <c r="G44" s="970">
        <v>24326022.140000001</v>
      </c>
      <c r="H44" s="970">
        <f t="shared" si="2"/>
        <v>15726808.659999996</v>
      </c>
      <c r="I44" s="970">
        <v>40052830.799999997</v>
      </c>
      <c r="J44" s="970">
        <f t="shared" si="1"/>
        <v>13841351.76</v>
      </c>
      <c r="K44" s="970">
        <v>0</v>
      </c>
      <c r="L44" s="1010">
        <f t="shared" si="3"/>
        <v>26211479.039999999</v>
      </c>
      <c r="N44" s="217"/>
      <c r="O44" s="1"/>
    </row>
    <row r="45" spans="1:15" x14ac:dyDescent="0.2">
      <c r="A45" s="1">
        <v>2652</v>
      </c>
      <c r="B45" s="178" t="s">
        <v>4047</v>
      </c>
      <c r="C45" s="970">
        <v>0</v>
      </c>
      <c r="D45" s="970">
        <v>0</v>
      </c>
      <c r="E45" s="1010">
        <f t="shared" si="0"/>
        <v>0</v>
      </c>
      <c r="F45" s="130"/>
      <c r="G45" s="970">
        <v>6636709.2800000003</v>
      </c>
      <c r="H45" s="970">
        <f t="shared" si="2"/>
        <v>265000</v>
      </c>
      <c r="I45" s="970">
        <v>6901709.2800000003</v>
      </c>
      <c r="J45" s="970">
        <f t="shared" si="1"/>
        <v>0</v>
      </c>
      <c r="K45" s="970">
        <v>0</v>
      </c>
      <c r="L45" s="1010">
        <f t="shared" si="3"/>
        <v>6901709.2800000003</v>
      </c>
      <c r="N45" s="217"/>
      <c r="O45" s="1"/>
    </row>
    <row r="46" spans="1:15" x14ac:dyDescent="0.2">
      <c r="A46" s="1">
        <v>2654</v>
      </c>
      <c r="B46" s="178" t="s">
        <v>4048</v>
      </c>
      <c r="C46" s="970">
        <v>0</v>
      </c>
      <c r="D46" s="970">
        <v>0</v>
      </c>
      <c r="E46" s="1010">
        <f t="shared" si="0"/>
        <v>0</v>
      </c>
      <c r="F46" s="130"/>
      <c r="G46" s="970">
        <v>931386.41</v>
      </c>
      <c r="H46" s="970">
        <f t="shared" si="2"/>
        <v>0</v>
      </c>
      <c r="I46" s="970">
        <v>931386.41</v>
      </c>
      <c r="J46" s="970">
        <f t="shared" si="1"/>
        <v>0</v>
      </c>
      <c r="K46" s="970">
        <v>0</v>
      </c>
      <c r="L46" s="1010">
        <f t="shared" si="3"/>
        <v>931386.41</v>
      </c>
      <c r="N46" s="217"/>
      <c r="O46" s="1"/>
    </row>
    <row r="47" spans="1:15" x14ac:dyDescent="0.2">
      <c r="A47" s="1">
        <v>2655</v>
      </c>
      <c r="B47" s="178" t="s">
        <v>4049</v>
      </c>
      <c r="C47" s="970">
        <v>0</v>
      </c>
      <c r="D47" s="970">
        <v>0</v>
      </c>
      <c r="E47" s="1010">
        <f t="shared" si="0"/>
        <v>0</v>
      </c>
      <c r="F47" s="130"/>
      <c r="G47" s="970">
        <v>319360.03999999998</v>
      </c>
      <c r="H47" s="970">
        <f t="shared" si="2"/>
        <v>0</v>
      </c>
      <c r="I47" s="970">
        <v>319360.03999999998</v>
      </c>
      <c r="J47" s="970">
        <f t="shared" si="1"/>
        <v>0</v>
      </c>
      <c r="K47" s="970">
        <v>0</v>
      </c>
      <c r="L47" s="1010">
        <f t="shared" si="3"/>
        <v>319360.03999999998</v>
      </c>
      <c r="N47" s="217"/>
      <c r="O47" s="1"/>
    </row>
    <row r="48" spans="1:15" x14ac:dyDescent="0.2">
      <c r="A48" s="1">
        <v>2658</v>
      </c>
      <c r="B48" s="178" t="s">
        <v>4050</v>
      </c>
      <c r="C48" s="970">
        <v>0</v>
      </c>
      <c r="D48" s="970">
        <v>0</v>
      </c>
      <c r="E48" s="1010">
        <f t="shared" si="0"/>
        <v>0</v>
      </c>
      <c r="F48" s="130"/>
      <c r="G48" s="970">
        <v>412034.34</v>
      </c>
      <c r="H48" s="970">
        <f t="shared" si="2"/>
        <v>0</v>
      </c>
      <c r="I48" s="970">
        <v>412034.34</v>
      </c>
      <c r="J48" s="970">
        <f t="shared" si="1"/>
        <v>0</v>
      </c>
      <c r="K48" s="970">
        <v>0</v>
      </c>
      <c r="L48" s="1010">
        <f t="shared" si="3"/>
        <v>412034.34</v>
      </c>
      <c r="N48" s="217"/>
      <c r="O48" s="1"/>
    </row>
    <row r="49" spans="1:16" x14ac:dyDescent="0.2">
      <c r="A49" s="1">
        <v>2659</v>
      </c>
      <c r="B49" s="178" t="s">
        <v>4051</v>
      </c>
      <c r="C49" s="970">
        <v>21540068.25</v>
      </c>
      <c r="D49" s="970">
        <v>4965708.95</v>
      </c>
      <c r="E49" s="1010">
        <f t="shared" si="0"/>
        <v>16574359.300000001</v>
      </c>
      <c r="F49" s="130"/>
      <c r="G49" s="970">
        <v>12848249.719999999</v>
      </c>
      <c r="H49" s="970">
        <f t="shared" si="2"/>
        <v>3754048.2500000019</v>
      </c>
      <c r="I49" s="970">
        <v>16602297.970000001</v>
      </c>
      <c r="J49" s="970">
        <f t="shared" si="1"/>
        <v>4965708.95</v>
      </c>
      <c r="K49" s="970">
        <v>1348388.25</v>
      </c>
      <c r="L49" s="1010">
        <f t="shared" si="3"/>
        <v>10288200.77</v>
      </c>
      <c r="N49" s="217"/>
      <c r="O49" s="1"/>
    </row>
    <row r="50" spans="1:16" x14ac:dyDescent="0.2">
      <c r="A50" s="1">
        <v>2660</v>
      </c>
      <c r="B50" s="178" t="s">
        <v>4052</v>
      </c>
      <c r="C50" s="970">
        <v>19711463</v>
      </c>
      <c r="D50" s="970">
        <v>6836350.8499999996</v>
      </c>
      <c r="E50" s="1010">
        <f t="shared" si="0"/>
        <v>12875112.15</v>
      </c>
      <c r="F50" s="130"/>
      <c r="G50" s="970">
        <v>13435629.119999999</v>
      </c>
      <c r="H50" s="970">
        <f t="shared" si="2"/>
        <v>11025699.000000002</v>
      </c>
      <c r="I50" s="970">
        <v>24461328.120000001</v>
      </c>
      <c r="J50" s="970">
        <f t="shared" si="1"/>
        <v>6836350.8499999996</v>
      </c>
      <c r="K50" s="970">
        <v>0</v>
      </c>
      <c r="L50" s="1010">
        <f t="shared" si="3"/>
        <v>17624977.270000003</v>
      </c>
      <c r="N50" s="217"/>
      <c r="O50" s="1"/>
    </row>
    <row r="51" spans="1:16" x14ac:dyDescent="0.2">
      <c r="A51" s="1">
        <v>2661</v>
      </c>
      <c r="B51" s="178" t="s">
        <v>4053</v>
      </c>
      <c r="C51" s="970">
        <v>309641827.97000003</v>
      </c>
      <c r="D51" s="970">
        <v>205381731.37</v>
      </c>
      <c r="E51" s="1010">
        <f t="shared" si="0"/>
        <v>104260096.60000002</v>
      </c>
      <c r="F51" s="130"/>
      <c r="G51" s="970">
        <v>96224939.839999974</v>
      </c>
      <c r="H51" s="970">
        <f t="shared" si="2"/>
        <v>182065555.75</v>
      </c>
      <c r="I51" s="970">
        <v>278290495.58999997</v>
      </c>
      <c r="J51" s="970">
        <f t="shared" si="1"/>
        <v>205381731.37</v>
      </c>
      <c r="K51" s="970">
        <v>791766.55</v>
      </c>
      <c r="L51" s="1010">
        <f t="shared" si="3"/>
        <v>72116997.669999972</v>
      </c>
      <c r="N51" s="217"/>
      <c r="O51" s="1"/>
    </row>
    <row r="52" spans="1:16" x14ac:dyDescent="0.2">
      <c r="A52" s="1">
        <v>2664</v>
      </c>
      <c r="B52" s="178" t="s">
        <v>4054</v>
      </c>
      <c r="C52" s="970">
        <v>0</v>
      </c>
      <c r="D52" s="970">
        <v>0</v>
      </c>
      <c r="E52" s="1010">
        <f t="shared" si="0"/>
        <v>0</v>
      </c>
      <c r="F52" s="130"/>
      <c r="G52" s="970">
        <v>5310638.6500000004</v>
      </c>
      <c r="H52" s="970">
        <f t="shared" si="2"/>
        <v>0</v>
      </c>
      <c r="I52" s="970">
        <v>5310638.6500000004</v>
      </c>
      <c r="J52" s="970">
        <f t="shared" si="1"/>
        <v>0</v>
      </c>
      <c r="K52" s="970">
        <v>0</v>
      </c>
      <c r="L52" s="1010">
        <f t="shared" si="3"/>
        <v>5310638.6500000004</v>
      </c>
      <c r="N52" s="217"/>
      <c r="O52" s="1"/>
    </row>
    <row r="53" spans="1:16" x14ac:dyDescent="0.2">
      <c r="A53" s="1">
        <v>2665</v>
      </c>
      <c r="B53" s="178" t="s">
        <v>4055</v>
      </c>
      <c r="C53" s="970">
        <v>837458561.70000005</v>
      </c>
      <c r="D53" s="970">
        <v>222977223.94999999</v>
      </c>
      <c r="E53" s="1010">
        <f t="shared" si="0"/>
        <v>614481337.75</v>
      </c>
      <c r="F53" s="130"/>
      <c r="G53" s="970">
        <v>433486711.00999999</v>
      </c>
      <c r="H53" s="970">
        <f t="shared" si="2"/>
        <v>287373192.11000001</v>
      </c>
      <c r="I53" s="970">
        <v>720859903.12</v>
      </c>
      <c r="J53" s="970">
        <f t="shared" si="1"/>
        <v>222977223.94999999</v>
      </c>
      <c r="K53" s="970">
        <v>90512880.5</v>
      </c>
      <c r="L53" s="1010">
        <f t="shared" si="3"/>
        <v>407369798.67000002</v>
      </c>
      <c r="N53" s="217"/>
      <c r="O53" s="1"/>
    </row>
    <row r="54" spans="1:16" x14ac:dyDescent="0.2">
      <c r="A54" s="1">
        <v>2666</v>
      </c>
      <c r="B54" s="178" t="s">
        <v>4056</v>
      </c>
      <c r="C54" s="970">
        <v>11127000</v>
      </c>
      <c r="D54" s="970">
        <v>888940</v>
      </c>
      <c r="E54" s="1010">
        <f t="shared" si="0"/>
        <v>10238060</v>
      </c>
      <c r="F54" s="130"/>
      <c r="G54" s="970">
        <v>7844764.2699999996</v>
      </c>
      <c r="H54" s="970">
        <f t="shared" si="2"/>
        <v>530735</v>
      </c>
      <c r="I54" s="970">
        <v>8375499.2699999996</v>
      </c>
      <c r="J54" s="970">
        <f t="shared" si="1"/>
        <v>888940</v>
      </c>
      <c r="K54" s="970">
        <v>32235</v>
      </c>
      <c r="L54" s="1010">
        <f t="shared" si="3"/>
        <v>7454324.2699999996</v>
      </c>
      <c r="N54" s="217"/>
      <c r="O54" s="1"/>
    </row>
    <row r="55" spans="1:16" x14ac:dyDescent="0.2">
      <c r="A55" s="1">
        <v>2668</v>
      </c>
      <c r="B55" s="178" t="s">
        <v>2697</v>
      </c>
      <c r="C55" s="970">
        <v>8252095.4000000004</v>
      </c>
      <c r="D55" s="970">
        <v>12418</v>
      </c>
      <c r="E55" s="1010">
        <f t="shared" si="0"/>
        <v>8239677.4000000004</v>
      </c>
      <c r="F55" s="130"/>
      <c r="G55" s="970">
        <v>8194942.4000000004</v>
      </c>
      <c r="H55" s="970">
        <f t="shared" si="2"/>
        <v>62090</v>
      </c>
      <c r="I55" s="970">
        <v>8257032.4000000004</v>
      </c>
      <c r="J55" s="970">
        <f t="shared" si="1"/>
        <v>12418</v>
      </c>
      <c r="K55" s="970">
        <v>0</v>
      </c>
      <c r="L55" s="1010">
        <f t="shared" si="3"/>
        <v>8244614.4000000004</v>
      </c>
      <c r="N55" s="217"/>
      <c r="O55" s="1"/>
    </row>
    <row r="56" spans="1:16" x14ac:dyDescent="0.2">
      <c r="A56" s="1">
        <v>2671</v>
      </c>
      <c r="B56" s="178" t="s">
        <v>4057</v>
      </c>
      <c r="C56" s="970">
        <v>0</v>
      </c>
      <c r="D56" s="970">
        <v>0</v>
      </c>
      <c r="E56" s="1010">
        <f t="shared" si="0"/>
        <v>0</v>
      </c>
      <c r="F56" s="130"/>
      <c r="G56" s="970">
        <v>7095580.4900000002</v>
      </c>
      <c r="H56" s="970">
        <f t="shared" si="2"/>
        <v>0</v>
      </c>
      <c r="I56" s="970">
        <v>7095580.4900000002</v>
      </c>
      <c r="J56" s="970">
        <f t="shared" si="1"/>
        <v>0</v>
      </c>
      <c r="K56" s="970">
        <v>0</v>
      </c>
      <c r="L56" s="1010">
        <f t="shared" si="3"/>
        <v>7095580.4900000002</v>
      </c>
      <c r="N56" s="217"/>
      <c r="O56" s="1"/>
    </row>
    <row r="57" spans="1:16" x14ac:dyDescent="0.2">
      <c r="A57" s="1">
        <v>2672</v>
      </c>
      <c r="B57" s="178" t="s">
        <v>1249</v>
      </c>
      <c r="C57" s="970">
        <v>70134350.799999997</v>
      </c>
      <c r="D57" s="970">
        <v>8305745.7300000004</v>
      </c>
      <c r="E57" s="1010">
        <f t="shared" si="0"/>
        <v>61828605.069999993</v>
      </c>
      <c r="F57" s="130"/>
      <c r="G57" s="970">
        <v>61018815.99000001</v>
      </c>
      <c r="H57" s="970">
        <f t="shared" si="2"/>
        <v>10516314.799999997</v>
      </c>
      <c r="I57" s="970">
        <v>71535130.790000007</v>
      </c>
      <c r="J57" s="970">
        <f t="shared" si="1"/>
        <v>8305745.7300000004</v>
      </c>
      <c r="K57" s="970">
        <v>14659710.949999999</v>
      </c>
      <c r="L57" s="1010">
        <f t="shared" si="3"/>
        <v>48569674.109999999</v>
      </c>
      <c r="N57" s="217"/>
      <c r="P57" s="218"/>
    </row>
    <row r="58" spans="1:16" x14ac:dyDescent="0.2">
      <c r="A58" s="1">
        <v>2673</v>
      </c>
      <c r="B58" s="178" t="s">
        <v>4058</v>
      </c>
      <c r="C58" s="970">
        <v>0</v>
      </c>
      <c r="D58" s="970">
        <v>0</v>
      </c>
      <c r="E58" s="1010">
        <f t="shared" si="0"/>
        <v>0</v>
      </c>
      <c r="F58" s="130"/>
      <c r="G58" s="970">
        <v>331166.25</v>
      </c>
      <c r="H58" s="970">
        <f t="shared" si="2"/>
        <v>0</v>
      </c>
      <c r="I58" s="970">
        <v>331166.25</v>
      </c>
      <c r="J58" s="970">
        <f t="shared" si="1"/>
        <v>0</v>
      </c>
      <c r="K58" s="970">
        <v>0</v>
      </c>
      <c r="L58" s="1010">
        <f t="shared" si="3"/>
        <v>331166.25</v>
      </c>
      <c r="N58" s="217"/>
      <c r="P58" s="218"/>
    </row>
    <row r="59" spans="1:16" s="973" customFormat="1" ht="15" x14ac:dyDescent="0.25">
      <c r="A59" s="1">
        <v>2674</v>
      </c>
      <c r="B59" s="178" t="s">
        <v>4059</v>
      </c>
      <c r="C59" s="970">
        <v>1113019.02</v>
      </c>
      <c r="D59" s="970">
        <v>0</v>
      </c>
      <c r="E59" s="1010">
        <f t="shared" si="0"/>
        <v>1113019.02</v>
      </c>
      <c r="F59" s="130"/>
      <c r="G59" s="970">
        <v>913019.02</v>
      </c>
      <c r="H59" s="970">
        <f t="shared" si="2"/>
        <v>0</v>
      </c>
      <c r="I59" s="970">
        <v>913019.02</v>
      </c>
      <c r="J59" s="970">
        <f t="shared" si="1"/>
        <v>0</v>
      </c>
      <c r="K59" s="970">
        <v>0</v>
      </c>
      <c r="L59" s="1010">
        <f t="shared" si="3"/>
        <v>913019.02</v>
      </c>
      <c r="N59" s="972"/>
      <c r="P59" s="975"/>
    </row>
    <row r="60" spans="1:16" x14ac:dyDescent="0.2">
      <c r="A60" s="1">
        <v>2675</v>
      </c>
      <c r="B60" s="178" t="s">
        <v>2353</v>
      </c>
      <c r="C60" s="970">
        <v>0</v>
      </c>
      <c r="D60" s="970">
        <v>116720</v>
      </c>
      <c r="E60" s="1010">
        <f t="shared" si="0"/>
        <v>-116720</v>
      </c>
      <c r="F60" s="130"/>
      <c r="G60" s="970">
        <v>3705149.4</v>
      </c>
      <c r="H60" s="970">
        <f t="shared" si="2"/>
        <v>583600.00000000047</v>
      </c>
      <c r="I60" s="970">
        <v>4288749.4000000004</v>
      </c>
      <c r="J60" s="970">
        <f t="shared" si="1"/>
        <v>116720</v>
      </c>
      <c r="K60" s="970">
        <v>0</v>
      </c>
      <c r="L60" s="1010">
        <f t="shared" si="3"/>
        <v>4172029.4000000004</v>
      </c>
      <c r="N60" s="217"/>
      <c r="P60" s="218"/>
    </row>
    <row r="61" spans="1:16" x14ac:dyDescent="0.2">
      <c r="A61" s="1">
        <v>2676</v>
      </c>
      <c r="B61" s="178" t="s">
        <v>4060</v>
      </c>
      <c r="C61" s="970">
        <v>0</v>
      </c>
      <c r="D61" s="970">
        <v>0</v>
      </c>
      <c r="E61" s="1010">
        <f t="shared" si="0"/>
        <v>0</v>
      </c>
      <c r="F61" s="130"/>
      <c r="G61" s="970">
        <v>102663.59</v>
      </c>
      <c r="H61" s="970">
        <f t="shared" si="2"/>
        <v>0</v>
      </c>
      <c r="I61" s="970">
        <v>102663.59</v>
      </c>
      <c r="J61" s="970">
        <f t="shared" si="1"/>
        <v>0</v>
      </c>
      <c r="K61" s="970">
        <v>0</v>
      </c>
      <c r="L61" s="1010">
        <f t="shared" si="3"/>
        <v>102663.59</v>
      </c>
      <c r="N61" s="217"/>
      <c r="P61" s="218"/>
    </row>
    <row r="62" spans="1:16" x14ac:dyDescent="0.2">
      <c r="A62" s="1">
        <v>3003</v>
      </c>
      <c r="B62" s="178" t="s">
        <v>4061</v>
      </c>
      <c r="C62" s="970">
        <v>130038069.55</v>
      </c>
      <c r="D62" s="970">
        <v>8159846.2999999998</v>
      </c>
      <c r="E62" s="1010">
        <f t="shared" si="0"/>
        <v>121878223.25</v>
      </c>
      <c r="F62" s="130"/>
      <c r="G62" s="970">
        <v>92825528.310000002</v>
      </c>
      <c r="H62" s="970">
        <f t="shared" si="2"/>
        <v>40038069.549999997</v>
      </c>
      <c r="I62" s="970">
        <v>132863597.86</v>
      </c>
      <c r="J62" s="970">
        <f t="shared" si="1"/>
        <v>8159846.2999999998</v>
      </c>
      <c r="K62" s="970">
        <v>33000</v>
      </c>
      <c r="L62" s="1010">
        <f t="shared" si="3"/>
        <v>124670751.56</v>
      </c>
      <c r="N62" s="217"/>
      <c r="P62" s="218"/>
    </row>
    <row r="63" spans="1:16" x14ac:dyDescent="0.2">
      <c r="A63" s="1">
        <v>3004</v>
      </c>
      <c r="B63" s="178" t="s">
        <v>1514</v>
      </c>
      <c r="C63" s="970">
        <v>4861475.92</v>
      </c>
      <c r="D63" s="970">
        <v>15400</v>
      </c>
      <c r="E63" s="1010">
        <f t="shared" si="0"/>
        <v>4846075.92</v>
      </c>
      <c r="F63" s="130"/>
      <c r="G63" s="970">
        <v>3664922.88</v>
      </c>
      <c r="H63" s="970">
        <f t="shared" si="2"/>
        <v>77000</v>
      </c>
      <c r="I63" s="970">
        <v>3741922.88</v>
      </c>
      <c r="J63" s="970">
        <f t="shared" si="1"/>
        <v>15400</v>
      </c>
      <c r="K63" s="970">
        <v>0</v>
      </c>
      <c r="L63" s="1010">
        <f t="shared" si="3"/>
        <v>3726522.88</v>
      </c>
      <c r="N63" s="217"/>
      <c r="P63" s="218"/>
    </row>
    <row r="64" spans="1:16" x14ac:dyDescent="0.2">
      <c r="A64" s="1">
        <v>3005</v>
      </c>
      <c r="B64" s="178" t="s">
        <v>1515</v>
      </c>
      <c r="C64" s="970">
        <v>117304886.98</v>
      </c>
      <c r="D64" s="970">
        <v>50769664.399999999</v>
      </c>
      <c r="E64" s="1010">
        <f t="shared" si="0"/>
        <v>66535222.580000006</v>
      </c>
      <c r="F64" s="130"/>
      <c r="G64" s="970">
        <v>9304886.9799999893</v>
      </c>
      <c r="H64" s="970">
        <f t="shared" si="2"/>
        <v>81575646.74000001</v>
      </c>
      <c r="I64" s="970">
        <v>90880533.719999999</v>
      </c>
      <c r="J64" s="970">
        <f t="shared" si="1"/>
        <v>50769664.399999999</v>
      </c>
      <c r="K64" s="970">
        <v>0</v>
      </c>
      <c r="L64" s="1010">
        <f t="shared" si="3"/>
        <v>40110869.32</v>
      </c>
      <c r="N64" s="217"/>
      <c r="P64" s="218"/>
    </row>
    <row r="65" spans="1:16" x14ac:dyDescent="0.2">
      <c r="A65" s="1">
        <v>3007</v>
      </c>
      <c r="B65" s="178" t="s">
        <v>1608</v>
      </c>
      <c r="C65" s="970">
        <v>14998526</v>
      </c>
      <c r="D65" s="970">
        <v>2294366.4500000002</v>
      </c>
      <c r="E65" s="1010">
        <f t="shared" si="0"/>
        <v>12704159.550000001</v>
      </c>
      <c r="F65" s="130"/>
      <c r="G65" s="970">
        <v>10199389.59</v>
      </c>
      <c r="H65" s="970">
        <f t="shared" si="2"/>
        <v>5620000</v>
      </c>
      <c r="I65" s="970">
        <v>15819389.59</v>
      </c>
      <c r="J65" s="970">
        <f t="shared" si="1"/>
        <v>2294366.4500000002</v>
      </c>
      <c r="K65" s="970">
        <v>1520000</v>
      </c>
      <c r="L65" s="1010">
        <f t="shared" si="3"/>
        <v>12005023.140000001</v>
      </c>
      <c r="N65" s="217"/>
      <c r="P65" s="218"/>
    </row>
    <row r="66" spans="1:16" x14ac:dyDescent="0.2">
      <c r="A66" s="1">
        <v>3010</v>
      </c>
      <c r="B66" s="178" t="s">
        <v>4062</v>
      </c>
      <c r="C66" s="970">
        <v>10950000</v>
      </c>
      <c r="D66" s="970">
        <v>2143904.98</v>
      </c>
      <c r="E66" s="1010">
        <f t="shared" si="0"/>
        <v>8806095.0199999996</v>
      </c>
      <c r="F66" s="130"/>
      <c r="G66" s="970">
        <v>0</v>
      </c>
      <c r="H66" s="970">
        <f t="shared" si="2"/>
        <v>0</v>
      </c>
      <c r="I66" s="970">
        <v>0</v>
      </c>
      <c r="J66" s="970">
        <f t="shared" si="1"/>
        <v>2143904.98</v>
      </c>
      <c r="K66" s="970">
        <v>0</v>
      </c>
      <c r="L66" s="1010">
        <f t="shared" si="3"/>
        <v>-2143904.98</v>
      </c>
      <c r="N66" s="217"/>
      <c r="P66" s="218"/>
    </row>
    <row r="67" spans="1:16" s="973" customFormat="1" ht="15" x14ac:dyDescent="0.25">
      <c r="A67" s="1">
        <v>3015</v>
      </c>
      <c r="B67" s="178" t="s">
        <v>1796</v>
      </c>
      <c r="C67" s="970">
        <v>23275871.760000002</v>
      </c>
      <c r="D67" s="970">
        <v>6311851.4699999997</v>
      </c>
      <c r="E67" s="1010">
        <f t="shared" ref="E67:E130" si="4">C67-D67</f>
        <v>16964020.290000003</v>
      </c>
      <c r="F67" s="130"/>
      <c r="G67" s="970">
        <v>0</v>
      </c>
      <c r="H67" s="970">
        <f t="shared" si="2"/>
        <v>1269883.92</v>
      </c>
      <c r="I67" s="970">
        <v>1269883.92</v>
      </c>
      <c r="J67" s="970">
        <f t="shared" ref="J67:J130" si="5">D67</f>
        <v>6311851.4699999997</v>
      </c>
      <c r="K67" s="970">
        <v>0</v>
      </c>
      <c r="L67" s="1010">
        <f t="shared" si="3"/>
        <v>-5041967.55</v>
      </c>
      <c r="N67" s="972"/>
      <c r="P67" s="975"/>
    </row>
    <row r="68" spans="1:16" s="178" customFormat="1" x14ac:dyDescent="0.2">
      <c r="A68" s="1">
        <v>3017</v>
      </c>
      <c r="B68" s="178" t="s">
        <v>4063</v>
      </c>
      <c r="C68" s="970">
        <v>0</v>
      </c>
      <c r="D68" s="970">
        <v>0</v>
      </c>
      <c r="E68" s="1010">
        <f t="shared" si="4"/>
        <v>0</v>
      </c>
      <c r="F68" s="130"/>
      <c r="G68" s="970">
        <v>232348.42999999993</v>
      </c>
      <c r="H68" s="970">
        <f t="shared" ref="H68:H131" si="6">I68-G68</f>
        <v>0</v>
      </c>
      <c r="I68" s="970">
        <v>232348.43</v>
      </c>
      <c r="J68" s="970">
        <f t="shared" si="5"/>
        <v>0</v>
      </c>
      <c r="K68" s="970">
        <v>0</v>
      </c>
      <c r="L68" s="1010">
        <f t="shared" ref="L68:L131" si="7">I68-J68-K68</f>
        <v>232348.43</v>
      </c>
    </row>
    <row r="69" spans="1:16" x14ac:dyDescent="0.2">
      <c r="A69" s="1">
        <v>3020</v>
      </c>
      <c r="B69" s="178" t="s">
        <v>3615</v>
      </c>
      <c r="C69" s="970">
        <v>8071169.4500000002</v>
      </c>
      <c r="D69" s="970">
        <v>3903642.98</v>
      </c>
      <c r="E69" s="1010">
        <f t="shared" si="4"/>
        <v>4167526.47</v>
      </c>
      <c r="F69" s="130"/>
      <c r="G69" s="970">
        <v>0</v>
      </c>
      <c r="H69" s="970">
        <f t="shared" si="6"/>
        <v>8071169.4500000002</v>
      </c>
      <c r="I69" s="970">
        <v>8071169.4500000002</v>
      </c>
      <c r="J69" s="970">
        <f t="shared" si="5"/>
        <v>3903642.98</v>
      </c>
      <c r="K69" s="970">
        <v>0</v>
      </c>
      <c r="L69" s="1010">
        <f t="shared" si="7"/>
        <v>4167526.47</v>
      </c>
      <c r="N69" s="217"/>
      <c r="P69" s="218"/>
    </row>
    <row r="70" spans="1:16" s="178" customFormat="1" x14ac:dyDescent="0.2">
      <c r="A70" s="1">
        <v>3021</v>
      </c>
      <c r="B70" s="178" t="s">
        <v>3617</v>
      </c>
      <c r="C70" s="970">
        <v>8071169.4500000002</v>
      </c>
      <c r="D70" s="970">
        <v>4154335.73</v>
      </c>
      <c r="E70" s="1010">
        <f t="shared" si="4"/>
        <v>3916833.72</v>
      </c>
      <c r="F70" s="130"/>
      <c r="G70" s="970">
        <v>0</v>
      </c>
      <c r="H70" s="970">
        <f t="shared" si="6"/>
        <v>8071169.4500000002</v>
      </c>
      <c r="I70" s="970">
        <v>8071169.4500000002</v>
      </c>
      <c r="J70" s="970">
        <f t="shared" si="5"/>
        <v>4154335.73</v>
      </c>
      <c r="K70" s="970">
        <v>0</v>
      </c>
      <c r="L70" s="1010">
        <f t="shared" si="7"/>
        <v>3916833.72</v>
      </c>
    </row>
    <row r="71" spans="1:16" s="178" customFormat="1" x14ac:dyDescent="0.2">
      <c r="A71" s="1">
        <v>3022</v>
      </c>
      <c r="B71" s="178" t="s">
        <v>3619</v>
      </c>
      <c r="C71" s="970">
        <v>26124861</v>
      </c>
      <c r="D71" s="970">
        <v>20842687.109999999</v>
      </c>
      <c r="E71" s="1010">
        <f t="shared" si="4"/>
        <v>5282173.8900000006</v>
      </c>
      <c r="F71" s="130"/>
      <c r="G71" s="970">
        <v>14027071.050000001</v>
      </c>
      <c r="H71" s="970">
        <f t="shared" si="6"/>
        <v>17000000</v>
      </c>
      <c r="I71" s="970">
        <v>31027071.050000001</v>
      </c>
      <c r="J71" s="970">
        <f t="shared" si="5"/>
        <v>20842687.109999999</v>
      </c>
      <c r="K71" s="970">
        <v>0</v>
      </c>
      <c r="L71" s="1010">
        <f t="shared" si="7"/>
        <v>10184383.940000001</v>
      </c>
    </row>
    <row r="72" spans="1:16" s="178" customFormat="1" x14ac:dyDescent="0.2">
      <c r="A72" s="1">
        <v>3023</v>
      </c>
      <c r="B72" s="178" t="s">
        <v>3621</v>
      </c>
      <c r="C72" s="970">
        <v>48000000</v>
      </c>
      <c r="D72" s="970">
        <v>14015421.68</v>
      </c>
      <c r="E72" s="1010">
        <f t="shared" si="4"/>
        <v>33984578.32</v>
      </c>
      <c r="F72" s="130"/>
      <c r="G72" s="970">
        <v>8000000</v>
      </c>
      <c r="H72" s="970">
        <f t="shared" si="6"/>
        <v>40000000</v>
      </c>
      <c r="I72" s="970">
        <v>48000000</v>
      </c>
      <c r="J72" s="970">
        <f t="shared" si="5"/>
        <v>14015421.68</v>
      </c>
      <c r="K72" s="970">
        <v>0</v>
      </c>
      <c r="L72" s="1010">
        <f t="shared" si="7"/>
        <v>33984578.32</v>
      </c>
    </row>
    <row r="73" spans="1:16" s="178" customFormat="1" x14ac:dyDescent="0.2">
      <c r="A73" s="1">
        <v>3024</v>
      </c>
      <c r="B73" s="178" t="s">
        <v>3623</v>
      </c>
      <c r="C73" s="970">
        <v>2204135</v>
      </c>
      <c r="D73" s="970">
        <v>0</v>
      </c>
      <c r="E73" s="1010">
        <f t="shared" si="4"/>
        <v>2204135</v>
      </c>
      <c r="F73" s="130"/>
      <c r="G73" s="970">
        <v>725522.5</v>
      </c>
      <c r="H73" s="970">
        <f t="shared" si="6"/>
        <v>0</v>
      </c>
      <c r="I73" s="970">
        <v>725522.5</v>
      </c>
      <c r="J73" s="970">
        <f t="shared" si="5"/>
        <v>0</v>
      </c>
      <c r="K73" s="970">
        <v>0</v>
      </c>
      <c r="L73" s="1010">
        <f t="shared" si="7"/>
        <v>725522.5</v>
      </c>
    </row>
    <row r="74" spans="1:16" s="178" customFormat="1" x14ac:dyDescent="0.2">
      <c r="A74" s="1">
        <v>3026</v>
      </c>
      <c r="B74" s="178" t="s">
        <v>3625</v>
      </c>
      <c r="C74" s="970">
        <v>76000000</v>
      </c>
      <c r="D74" s="970">
        <v>40283108.890000001</v>
      </c>
      <c r="E74" s="1010">
        <f t="shared" si="4"/>
        <v>35716891.109999999</v>
      </c>
      <c r="F74" s="130"/>
      <c r="G74" s="970">
        <v>0</v>
      </c>
      <c r="H74" s="970">
        <f t="shared" si="6"/>
        <v>38000000</v>
      </c>
      <c r="I74" s="970">
        <v>38000000</v>
      </c>
      <c r="J74" s="970">
        <f t="shared" si="5"/>
        <v>40283108.890000001</v>
      </c>
      <c r="K74" s="970">
        <v>0</v>
      </c>
      <c r="L74" s="1010">
        <f t="shared" si="7"/>
        <v>-2283108.8900000006</v>
      </c>
    </row>
    <row r="75" spans="1:16" s="178" customFormat="1" x14ac:dyDescent="0.2">
      <c r="A75" s="1">
        <v>3027</v>
      </c>
      <c r="B75" s="178" t="s">
        <v>4064</v>
      </c>
      <c r="C75" s="970">
        <v>44880001</v>
      </c>
      <c r="D75" s="970">
        <v>11645488.810000001</v>
      </c>
      <c r="E75" s="1010">
        <f t="shared" si="4"/>
        <v>33234512.189999998</v>
      </c>
      <c r="F75" s="130"/>
      <c r="G75" s="970">
        <v>0</v>
      </c>
      <c r="H75" s="970">
        <v>22440001</v>
      </c>
      <c r="I75" s="970">
        <v>22440001</v>
      </c>
      <c r="J75" s="970">
        <f t="shared" si="5"/>
        <v>11645488.810000001</v>
      </c>
      <c r="K75" s="970">
        <v>0</v>
      </c>
      <c r="L75" s="1010">
        <f t="shared" si="7"/>
        <v>10794512.189999999</v>
      </c>
    </row>
    <row r="76" spans="1:16" s="178" customFormat="1" x14ac:dyDescent="0.2">
      <c r="A76" s="1">
        <v>2701</v>
      </c>
      <c r="B76" s="178" t="s">
        <v>527</v>
      </c>
      <c r="C76" s="970">
        <v>1755250</v>
      </c>
      <c r="D76" s="970">
        <v>0</v>
      </c>
      <c r="E76" s="1010">
        <f t="shared" si="4"/>
        <v>1755250</v>
      </c>
      <c r="F76" s="130"/>
      <c r="G76" s="970">
        <v>16220333.490000002</v>
      </c>
      <c r="H76" s="970">
        <f t="shared" si="6"/>
        <v>1755249.9999999963</v>
      </c>
      <c r="I76" s="970">
        <v>17975583.489999998</v>
      </c>
      <c r="J76" s="970">
        <f t="shared" si="5"/>
        <v>0</v>
      </c>
      <c r="K76" s="970">
        <v>0</v>
      </c>
      <c r="L76" s="1010">
        <f t="shared" si="7"/>
        <v>17975583.489999998</v>
      </c>
    </row>
    <row r="77" spans="1:16" s="178" customFormat="1" x14ac:dyDescent="0.2">
      <c r="A77" s="1">
        <v>2704</v>
      </c>
      <c r="B77" s="178" t="s">
        <v>4065</v>
      </c>
      <c r="C77" s="970">
        <v>0</v>
      </c>
      <c r="D77" s="970">
        <v>0</v>
      </c>
      <c r="E77" s="1010">
        <f t="shared" si="4"/>
        <v>0</v>
      </c>
      <c r="F77" s="130"/>
      <c r="G77" s="970">
        <v>1124194.339999998</v>
      </c>
      <c r="H77" s="970">
        <f t="shared" si="6"/>
        <v>-229999.99999999802</v>
      </c>
      <c r="I77" s="970">
        <v>894194.34</v>
      </c>
      <c r="J77" s="970">
        <f t="shared" si="5"/>
        <v>0</v>
      </c>
      <c r="K77" s="970">
        <v>0</v>
      </c>
      <c r="L77" s="1010">
        <f t="shared" si="7"/>
        <v>894194.34</v>
      </c>
    </row>
    <row r="78" spans="1:16" x14ac:dyDescent="0.2">
      <c r="A78" s="1">
        <v>2750</v>
      </c>
      <c r="B78" s="178" t="s">
        <v>545</v>
      </c>
      <c r="C78" s="970">
        <v>4419540</v>
      </c>
      <c r="D78" s="970">
        <v>2009591.94</v>
      </c>
      <c r="E78" s="1010">
        <f t="shared" si="4"/>
        <v>2409948.06</v>
      </c>
      <c r="F78" s="130"/>
      <c r="G78" s="970">
        <v>7410525.2799999993</v>
      </c>
      <c r="H78" s="970">
        <f t="shared" si="6"/>
        <v>0</v>
      </c>
      <c r="I78" s="970">
        <v>7410525.2800000003</v>
      </c>
      <c r="J78" s="970">
        <f t="shared" si="5"/>
        <v>2009591.94</v>
      </c>
      <c r="K78" s="970">
        <v>0</v>
      </c>
      <c r="L78" s="1010">
        <f t="shared" si="7"/>
        <v>5400933.3399999999</v>
      </c>
      <c r="N78" s="217"/>
      <c r="P78" s="218"/>
    </row>
    <row r="79" spans="1:16" x14ac:dyDescent="0.2">
      <c r="A79" s="1">
        <v>2751</v>
      </c>
      <c r="B79" s="178" t="s">
        <v>4066</v>
      </c>
      <c r="C79" s="970">
        <v>0</v>
      </c>
      <c r="D79" s="970">
        <v>0</v>
      </c>
      <c r="E79" s="1010">
        <f t="shared" si="4"/>
        <v>0</v>
      </c>
      <c r="F79" s="130"/>
      <c r="G79" s="970">
        <v>62400</v>
      </c>
      <c r="H79" s="970">
        <f t="shared" si="6"/>
        <v>0</v>
      </c>
      <c r="I79" s="970">
        <v>62400</v>
      </c>
      <c r="J79" s="970">
        <f t="shared" si="5"/>
        <v>0</v>
      </c>
      <c r="K79" s="970">
        <v>0</v>
      </c>
      <c r="L79" s="1010">
        <f t="shared" si="7"/>
        <v>62400</v>
      </c>
      <c r="N79" s="217"/>
      <c r="P79" s="218"/>
    </row>
    <row r="80" spans="1:16" x14ac:dyDescent="0.2">
      <c r="A80" s="1">
        <v>2752</v>
      </c>
      <c r="B80" s="178" t="s">
        <v>4067</v>
      </c>
      <c r="C80" s="970">
        <v>72923746</v>
      </c>
      <c r="D80" s="970">
        <v>30335853.34</v>
      </c>
      <c r="E80" s="1010">
        <f t="shared" si="4"/>
        <v>42587892.659999996</v>
      </c>
      <c r="F80" s="130"/>
      <c r="G80" s="970">
        <v>11829344.970000014</v>
      </c>
      <c r="H80" s="970">
        <f t="shared" si="6"/>
        <v>21552718.069999985</v>
      </c>
      <c r="I80" s="970">
        <v>33382063.039999999</v>
      </c>
      <c r="J80" s="970">
        <f t="shared" si="5"/>
        <v>30335853.34</v>
      </c>
      <c r="K80" s="970">
        <v>2548746</v>
      </c>
      <c r="L80" s="1010">
        <f t="shared" si="7"/>
        <v>497463.69999999925</v>
      </c>
      <c r="N80" s="217"/>
      <c r="P80" s="218"/>
    </row>
    <row r="81" spans="1:16" x14ac:dyDescent="0.2">
      <c r="A81" s="1">
        <v>2753</v>
      </c>
      <c r="B81" s="178" t="s">
        <v>105</v>
      </c>
      <c r="C81" s="970">
        <v>264178465.91999999</v>
      </c>
      <c r="D81" s="970">
        <v>0</v>
      </c>
      <c r="E81" s="1010">
        <f t="shared" si="4"/>
        <v>264178465.91999999</v>
      </c>
      <c r="F81" s="130"/>
      <c r="G81" s="970">
        <v>264178465.91999999</v>
      </c>
      <c r="H81" s="970">
        <f t="shared" si="6"/>
        <v>0</v>
      </c>
      <c r="I81" s="970">
        <v>264178465.91999999</v>
      </c>
      <c r="J81" s="970">
        <f t="shared" si="5"/>
        <v>0</v>
      </c>
      <c r="K81" s="970">
        <v>0</v>
      </c>
      <c r="L81" s="1010">
        <f t="shared" si="7"/>
        <v>264178465.91999999</v>
      </c>
      <c r="N81" s="217"/>
      <c r="P81" s="218"/>
    </row>
    <row r="82" spans="1:16" x14ac:dyDescent="0.2">
      <c r="A82" s="1">
        <v>2754</v>
      </c>
      <c r="B82" s="178" t="s">
        <v>4068</v>
      </c>
      <c r="C82" s="970">
        <v>0</v>
      </c>
      <c r="D82" s="970">
        <v>0</v>
      </c>
      <c r="E82" s="1010">
        <f t="shared" si="4"/>
        <v>0</v>
      </c>
      <c r="F82" s="130"/>
      <c r="G82" s="970">
        <v>446513098.36000001</v>
      </c>
      <c r="H82" s="970">
        <f t="shared" si="6"/>
        <v>0</v>
      </c>
      <c r="I82" s="970">
        <v>446513098.36000001</v>
      </c>
      <c r="J82" s="970">
        <f t="shared" si="5"/>
        <v>0</v>
      </c>
      <c r="K82" s="970">
        <v>0</v>
      </c>
      <c r="L82" s="1010">
        <f t="shared" si="7"/>
        <v>446513098.36000001</v>
      </c>
      <c r="N82" s="217"/>
      <c r="P82" s="218"/>
    </row>
    <row r="83" spans="1:16" x14ac:dyDescent="0.2">
      <c r="A83" s="1">
        <v>2756</v>
      </c>
      <c r="B83" s="178" t="s">
        <v>4069</v>
      </c>
      <c r="C83" s="970">
        <v>20017808.25</v>
      </c>
      <c r="D83" s="970">
        <v>11870758.75</v>
      </c>
      <c r="E83" s="1010">
        <f t="shared" si="4"/>
        <v>8147049.5</v>
      </c>
      <c r="F83" s="130"/>
      <c r="G83" s="970">
        <v>43773338.25</v>
      </c>
      <c r="H83" s="970">
        <f t="shared" si="6"/>
        <v>-9202191.75</v>
      </c>
      <c r="I83" s="970">
        <v>34571146.5</v>
      </c>
      <c r="J83" s="970">
        <f t="shared" si="5"/>
        <v>11870758.75</v>
      </c>
      <c r="K83" s="970">
        <v>1723275</v>
      </c>
      <c r="L83" s="1010">
        <f t="shared" si="7"/>
        <v>20977112.75</v>
      </c>
      <c r="N83" s="217"/>
      <c r="P83" s="218"/>
    </row>
    <row r="84" spans="1:16" x14ac:dyDescent="0.2">
      <c r="A84" s="1">
        <v>2766</v>
      </c>
      <c r="B84" s="178" t="s">
        <v>847</v>
      </c>
      <c r="C84" s="970">
        <v>20256980.690000001</v>
      </c>
      <c r="D84" s="970">
        <v>7295533.3300000001</v>
      </c>
      <c r="E84" s="1010">
        <f t="shared" si="4"/>
        <v>12961447.360000001</v>
      </c>
      <c r="F84" s="130"/>
      <c r="G84" s="970">
        <v>12256980.690000001</v>
      </c>
      <c r="H84" s="970">
        <f t="shared" si="6"/>
        <v>7596749.629999999</v>
      </c>
      <c r="I84" s="970">
        <v>19853730.32</v>
      </c>
      <c r="J84" s="970">
        <f t="shared" si="5"/>
        <v>7295533.3300000001</v>
      </c>
      <c r="K84" s="970">
        <v>0</v>
      </c>
      <c r="L84" s="1010">
        <f t="shared" si="7"/>
        <v>12558196.99</v>
      </c>
      <c r="N84" s="217"/>
      <c r="P84" s="218"/>
    </row>
    <row r="85" spans="1:16" x14ac:dyDescent="0.2">
      <c r="A85" s="1">
        <v>2771</v>
      </c>
      <c r="B85" s="178" t="s">
        <v>4070</v>
      </c>
      <c r="C85" s="970">
        <v>140154234.94999999</v>
      </c>
      <c r="D85" s="970">
        <v>0</v>
      </c>
      <c r="E85" s="1010">
        <f t="shared" si="4"/>
        <v>140154234.94999999</v>
      </c>
      <c r="F85" s="130"/>
      <c r="G85" s="970">
        <v>140154234.94999999</v>
      </c>
      <c r="H85" s="970">
        <f t="shared" si="6"/>
        <v>0</v>
      </c>
      <c r="I85" s="970">
        <v>140154234.94999999</v>
      </c>
      <c r="J85" s="970">
        <f t="shared" si="5"/>
        <v>0</v>
      </c>
      <c r="K85" s="970">
        <v>0</v>
      </c>
      <c r="L85" s="1010">
        <f t="shared" si="7"/>
        <v>140154234.94999999</v>
      </c>
      <c r="N85" s="217"/>
      <c r="P85" s="218"/>
    </row>
    <row r="86" spans="1:16" x14ac:dyDescent="0.2">
      <c r="A86" s="1">
        <v>2772</v>
      </c>
      <c r="B86" s="178" t="s">
        <v>4071</v>
      </c>
      <c r="C86" s="970">
        <v>102450000</v>
      </c>
      <c r="D86" s="970">
        <v>8640948.4000000004</v>
      </c>
      <c r="E86" s="1010">
        <f t="shared" si="4"/>
        <v>93809051.599999994</v>
      </c>
      <c r="F86" s="130"/>
      <c r="G86" s="970">
        <v>131505812.5</v>
      </c>
      <c r="H86" s="970">
        <f t="shared" si="6"/>
        <v>13230000</v>
      </c>
      <c r="I86" s="970">
        <v>144735812.5</v>
      </c>
      <c r="J86" s="970">
        <f t="shared" si="5"/>
        <v>8640948.4000000004</v>
      </c>
      <c r="K86" s="970">
        <v>0</v>
      </c>
      <c r="L86" s="1010">
        <f t="shared" si="7"/>
        <v>136094864.09999999</v>
      </c>
      <c r="N86" s="217"/>
      <c r="P86" s="218"/>
    </row>
    <row r="87" spans="1:16" x14ac:dyDescent="0.2">
      <c r="A87" s="1">
        <v>2775</v>
      </c>
      <c r="B87" s="178" t="s">
        <v>3630</v>
      </c>
      <c r="C87" s="970">
        <v>253937887.34999999</v>
      </c>
      <c r="D87" s="970">
        <v>50471329.07</v>
      </c>
      <c r="E87" s="1010">
        <f t="shared" si="4"/>
        <v>203466558.28</v>
      </c>
      <c r="F87" s="130"/>
      <c r="G87" s="970">
        <v>19172887.350000001</v>
      </c>
      <c r="H87" s="970">
        <f t="shared" si="6"/>
        <v>65794999.999999993</v>
      </c>
      <c r="I87" s="970">
        <v>84967887.349999994</v>
      </c>
      <c r="J87" s="970">
        <f t="shared" si="5"/>
        <v>50471329.07</v>
      </c>
      <c r="K87" s="970">
        <v>10452520</v>
      </c>
      <c r="L87" s="1010">
        <f t="shared" si="7"/>
        <v>24044038.279999994</v>
      </c>
      <c r="N87" s="217"/>
      <c r="P87" s="218"/>
    </row>
    <row r="88" spans="1:16" x14ac:dyDescent="0.2">
      <c r="A88" s="1">
        <v>2776</v>
      </c>
      <c r="B88" s="178" t="s">
        <v>4072</v>
      </c>
      <c r="C88" s="970">
        <v>0</v>
      </c>
      <c r="D88" s="970">
        <v>2560000</v>
      </c>
      <c r="E88" s="1010">
        <f t="shared" si="4"/>
        <v>-2560000</v>
      </c>
      <c r="F88" s="130"/>
      <c r="G88" s="970"/>
      <c r="I88" s="970">
        <v>12800000</v>
      </c>
      <c r="J88" s="970">
        <f t="shared" si="5"/>
        <v>2560000</v>
      </c>
      <c r="K88" s="970">
        <v>0</v>
      </c>
      <c r="L88" s="1010">
        <f t="shared" si="7"/>
        <v>10240000</v>
      </c>
      <c r="N88" s="217"/>
      <c r="P88" s="218"/>
    </row>
    <row r="89" spans="1:16" x14ac:dyDescent="0.2">
      <c r="A89" s="1">
        <v>2777</v>
      </c>
      <c r="B89" s="178" t="s">
        <v>3634</v>
      </c>
      <c r="C89" s="970">
        <v>30660620</v>
      </c>
      <c r="D89" s="970">
        <v>11538727.25</v>
      </c>
      <c r="E89" s="1010">
        <f t="shared" si="4"/>
        <v>19121892.75</v>
      </c>
      <c r="F89" s="130"/>
      <c r="G89" s="970">
        <v>29386881.350000001</v>
      </c>
      <c r="H89" s="970">
        <f t="shared" si="6"/>
        <v>10396000</v>
      </c>
      <c r="I89" s="970">
        <v>39782881.350000001</v>
      </c>
      <c r="J89" s="970">
        <f t="shared" si="5"/>
        <v>11538727.25</v>
      </c>
      <c r="K89" s="970">
        <v>6725000</v>
      </c>
      <c r="L89" s="1010">
        <f t="shared" si="7"/>
        <v>21519154.100000001</v>
      </c>
      <c r="N89" s="217"/>
      <c r="P89" s="218"/>
    </row>
    <row r="90" spans="1:16" x14ac:dyDescent="0.2">
      <c r="A90" s="1">
        <v>2778</v>
      </c>
      <c r="B90" s="178" t="s">
        <v>4073</v>
      </c>
      <c r="C90" s="970">
        <v>0</v>
      </c>
      <c r="D90" s="970">
        <v>0</v>
      </c>
      <c r="E90" s="1010">
        <f t="shared" si="4"/>
        <v>0</v>
      </c>
      <c r="F90" s="130"/>
      <c r="G90" s="970">
        <v>4400000</v>
      </c>
      <c r="H90" s="970">
        <f t="shared" si="6"/>
        <v>0</v>
      </c>
      <c r="I90" s="970">
        <v>4400000</v>
      </c>
      <c r="J90" s="970">
        <f t="shared" si="5"/>
        <v>0</v>
      </c>
      <c r="K90" s="970">
        <v>0</v>
      </c>
      <c r="L90" s="1010">
        <f t="shared" si="7"/>
        <v>4400000</v>
      </c>
      <c r="N90" s="217"/>
      <c r="P90" s="218"/>
    </row>
    <row r="91" spans="1:16" x14ac:dyDescent="0.2">
      <c r="A91" s="1">
        <v>2779</v>
      </c>
      <c r="B91" s="178" t="s">
        <v>4074</v>
      </c>
      <c r="C91" s="970">
        <v>31999999.600000001</v>
      </c>
      <c r="D91" s="970">
        <v>14224268.75</v>
      </c>
      <c r="E91" s="1010">
        <f t="shared" si="4"/>
        <v>17775730.850000001</v>
      </c>
      <c r="F91" s="130"/>
      <c r="G91" s="970">
        <v>25599999.68</v>
      </c>
      <c r="H91" s="970">
        <f t="shared" si="6"/>
        <v>0</v>
      </c>
      <c r="I91" s="970">
        <v>25599999.68</v>
      </c>
      <c r="J91" s="970">
        <f t="shared" si="5"/>
        <v>14224268.75</v>
      </c>
      <c r="K91" s="970">
        <v>0</v>
      </c>
      <c r="L91" s="1010">
        <f t="shared" si="7"/>
        <v>11375730.93</v>
      </c>
      <c r="N91" s="217"/>
      <c r="P91" s="218"/>
    </row>
    <row r="92" spans="1:16" x14ac:dyDescent="0.2">
      <c r="A92" s="1">
        <v>2780</v>
      </c>
      <c r="B92" s="178" t="s">
        <v>3638</v>
      </c>
      <c r="C92" s="970">
        <v>14300000</v>
      </c>
      <c r="D92" s="970">
        <v>858000</v>
      </c>
      <c r="E92" s="1010">
        <f t="shared" si="4"/>
        <v>13442000</v>
      </c>
      <c r="F92" s="130"/>
      <c r="G92" s="970">
        <v>0</v>
      </c>
      <c r="H92" s="970">
        <f t="shared" si="6"/>
        <v>4290000</v>
      </c>
      <c r="I92" s="970">
        <v>4290000</v>
      </c>
      <c r="J92" s="970">
        <f t="shared" si="5"/>
        <v>858000</v>
      </c>
      <c r="K92" s="970">
        <v>0</v>
      </c>
      <c r="L92" s="1010">
        <f t="shared" si="7"/>
        <v>3432000</v>
      </c>
      <c r="N92" s="217"/>
      <c r="P92" s="218"/>
    </row>
    <row r="93" spans="1:16" x14ac:dyDescent="0.2">
      <c r="A93" s="1">
        <v>2782</v>
      </c>
      <c r="B93" s="178" t="s">
        <v>4075</v>
      </c>
      <c r="C93" s="970">
        <v>7560000</v>
      </c>
      <c r="D93" s="970">
        <v>5251776.99</v>
      </c>
      <c r="E93" s="1010">
        <f t="shared" si="4"/>
        <v>2308223.0099999998</v>
      </c>
      <c r="F93" s="130"/>
      <c r="G93" s="970">
        <v>0</v>
      </c>
      <c r="H93" s="970">
        <f t="shared" si="6"/>
        <v>3024000</v>
      </c>
      <c r="I93" s="970">
        <v>3024000</v>
      </c>
      <c r="J93" s="970">
        <f t="shared" si="5"/>
        <v>5251776.99</v>
      </c>
      <c r="K93" s="970">
        <v>0</v>
      </c>
      <c r="L93" s="1010">
        <f t="shared" si="7"/>
        <v>-2227776.9900000002</v>
      </c>
      <c r="N93" s="217"/>
      <c r="P93" s="218"/>
    </row>
    <row r="94" spans="1:16" x14ac:dyDescent="0.2">
      <c r="A94" s="1">
        <v>2784</v>
      </c>
      <c r="B94" s="178" t="s">
        <v>4076</v>
      </c>
      <c r="C94" s="970">
        <v>267280000</v>
      </c>
      <c r="D94" s="970">
        <v>23304000</v>
      </c>
      <c r="E94" s="1010">
        <f t="shared" si="4"/>
        <v>243976000</v>
      </c>
      <c r="F94" s="130"/>
      <c r="G94" s="970">
        <v>0</v>
      </c>
      <c r="H94" s="970">
        <f t="shared" si="6"/>
        <v>66200000</v>
      </c>
      <c r="I94" s="970">
        <v>66200000</v>
      </c>
      <c r="J94" s="970">
        <f t="shared" si="5"/>
        <v>23304000</v>
      </c>
      <c r="K94" s="970">
        <v>564000</v>
      </c>
      <c r="L94" s="1010">
        <f t="shared" si="7"/>
        <v>42332000</v>
      </c>
      <c r="N94" s="217"/>
      <c r="P94" s="218"/>
    </row>
    <row r="95" spans="1:16" x14ac:dyDescent="0.2">
      <c r="A95" s="1">
        <v>2785</v>
      </c>
      <c r="B95" s="178" t="s">
        <v>4077</v>
      </c>
      <c r="C95" s="970">
        <v>51432273.399999999</v>
      </c>
      <c r="D95" s="970">
        <v>3007957.58</v>
      </c>
      <c r="E95" s="1010">
        <f t="shared" si="4"/>
        <v>48424315.82</v>
      </c>
      <c r="F95" s="130"/>
      <c r="G95" s="970">
        <v>0</v>
      </c>
      <c r="H95" s="970">
        <f t="shared" si="6"/>
        <v>29368924.399999999</v>
      </c>
      <c r="I95" s="970">
        <v>29368924.399999999</v>
      </c>
      <c r="J95" s="970">
        <f t="shared" si="5"/>
        <v>3007957.58</v>
      </c>
      <c r="L95" s="1010">
        <f t="shared" si="7"/>
        <v>26360966.82</v>
      </c>
      <c r="N95" s="217"/>
      <c r="P95" s="218"/>
    </row>
    <row r="96" spans="1:16" x14ac:dyDescent="0.2">
      <c r="A96" s="1">
        <v>2821</v>
      </c>
      <c r="B96" s="178" t="s">
        <v>1424</v>
      </c>
      <c r="C96" s="970">
        <v>90249212.200000003</v>
      </c>
      <c r="D96" s="970">
        <v>23799732.440000001</v>
      </c>
      <c r="E96" s="1010">
        <f t="shared" si="4"/>
        <v>66449479.760000005</v>
      </c>
      <c r="F96" s="130"/>
      <c r="G96" s="970">
        <v>82268048.680000007</v>
      </c>
      <c r="H96" s="970">
        <f t="shared" si="6"/>
        <v>58716886.199999988</v>
      </c>
      <c r="I96" s="970">
        <v>140984934.88</v>
      </c>
      <c r="J96" s="970">
        <f t="shared" si="5"/>
        <v>23799732.440000001</v>
      </c>
      <c r="K96" s="970">
        <v>1626762.2</v>
      </c>
      <c r="L96" s="1010">
        <f t="shared" si="7"/>
        <v>115558440.23999999</v>
      </c>
      <c r="N96" s="217"/>
      <c r="P96" s="218"/>
    </row>
    <row r="97" spans="1:12" x14ac:dyDescent="0.2">
      <c r="A97" s="1">
        <v>2822</v>
      </c>
      <c r="B97" s="178" t="s">
        <v>466</v>
      </c>
      <c r="C97" s="970">
        <v>3080000</v>
      </c>
      <c r="D97" s="970">
        <v>1521454.27</v>
      </c>
      <c r="E97" s="1010">
        <f t="shared" si="4"/>
        <v>1558545.73</v>
      </c>
      <c r="F97" s="130"/>
      <c r="G97" s="970">
        <v>1670220.7799999998</v>
      </c>
      <c r="H97" s="970">
        <f t="shared" si="6"/>
        <v>666496.37000000011</v>
      </c>
      <c r="I97" s="970">
        <v>2336717.15</v>
      </c>
      <c r="J97" s="970">
        <f t="shared" si="5"/>
        <v>1521454.27</v>
      </c>
      <c r="K97" s="970">
        <v>0</v>
      </c>
      <c r="L97" s="1010">
        <f t="shared" si="7"/>
        <v>815262.87999999989</v>
      </c>
    </row>
    <row r="98" spans="1:12" x14ac:dyDescent="0.2">
      <c r="A98" s="1">
        <v>2823</v>
      </c>
      <c r="B98" s="178" t="s">
        <v>866</v>
      </c>
      <c r="C98" s="970">
        <v>15059662.15</v>
      </c>
      <c r="D98" s="970">
        <v>0</v>
      </c>
      <c r="E98" s="1010">
        <f t="shared" si="4"/>
        <v>15059662.15</v>
      </c>
      <c r="F98" s="130"/>
      <c r="G98" s="970">
        <v>4548706.1500000022</v>
      </c>
      <c r="H98" s="970">
        <f t="shared" si="6"/>
        <v>5188667.9999999981</v>
      </c>
      <c r="I98" s="970">
        <v>9737374.1500000004</v>
      </c>
      <c r="J98" s="970">
        <f t="shared" si="5"/>
        <v>0</v>
      </c>
      <c r="K98" s="970">
        <v>2500000</v>
      </c>
      <c r="L98" s="1010">
        <f t="shared" si="7"/>
        <v>7237374.1500000004</v>
      </c>
    </row>
    <row r="99" spans="1:12" x14ac:dyDescent="0.2">
      <c r="A99" s="1">
        <v>2850</v>
      </c>
      <c r="B99" s="178" t="s">
        <v>2698</v>
      </c>
      <c r="C99" s="970">
        <v>22842886.48</v>
      </c>
      <c r="D99" s="970">
        <v>2065500</v>
      </c>
      <c r="E99" s="1010">
        <f t="shared" si="4"/>
        <v>20777386.48</v>
      </c>
      <c r="F99" s="130"/>
      <c r="G99" s="970">
        <v>31865526.889999997</v>
      </c>
      <c r="H99" s="970">
        <f t="shared" si="6"/>
        <v>33263186.48</v>
      </c>
      <c r="I99" s="970">
        <v>65128713.369999997</v>
      </c>
      <c r="J99" s="970">
        <f t="shared" si="5"/>
        <v>2065500</v>
      </c>
      <c r="K99" s="970">
        <v>22842886.48</v>
      </c>
      <c r="L99" s="1010">
        <f t="shared" si="7"/>
        <v>40220326.890000001</v>
      </c>
    </row>
    <row r="100" spans="1:12" x14ac:dyDescent="0.2">
      <c r="A100" s="1">
        <v>2851</v>
      </c>
      <c r="B100" s="178" t="s">
        <v>4078</v>
      </c>
      <c r="C100" s="970">
        <v>4180848.61</v>
      </c>
      <c r="D100" s="970">
        <v>19361</v>
      </c>
      <c r="E100" s="1010">
        <f t="shared" si="4"/>
        <v>4161487.61</v>
      </c>
      <c r="F100" s="130"/>
      <c r="G100" s="970">
        <v>3880848.41</v>
      </c>
      <c r="H100" s="970">
        <f t="shared" si="6"/>
        <v>65305</v>
      </c>
      <c r="I100" s="970">
        <v>3946153.41</v>
      </c>
      <c r="J100" s="970">
        <f t="shared" si="5"/>
        <v>19361</v>
      </c>
      <c r="K100" s="970">
        <v>0</v>
      </c>
      <c r="L100" s="1010">
        <f t="shared" si="7"/>
        <v>3926792.41</v>
      </c>
    </row>
    <row r="101" spans="1:12" x14ac:dyDescent="0.2">
      <c r="A101" s="1">
        <v>2852</v>
      </c>
      <c r="B101" s="178" t="s">
        <v>83</v>
      </c>
      <c r="C101" s="970">
        <v>9470520.6600000001</v>
      </c>
      <c r="D101" s="970">
        <v>1841845.15</v>
      </c>
      <c r="E101" s="1010">
        <f t="shared" si="4"/>
        <v>7628675.5099999998</v>
      </c>
      <c r="F101" s="130"/>
      <c r="G101" s="970">
        <v>8970520.6600000001</v>
      </c>
      <c r="H101" s="970">
        <f t="shared" si="6"/>
        <v>506000</v>
      </c>
      <c r="I101" s="970">
        <v>9476520.6600000001</v>
      </c>
      <c r="J101" s="970">
        <f t="shared" si="5"/>
        <v>1841845.15</v>
      </c>
      <c r="K101" s="970">
        <v>0</v>
      </c>
      <c r="L101" s="1010">
        <f t="shared" si="7"/>
        <v>7634675.5099999998</v>
      </c>
    </row>
    <row r="102" spans="1:12" x14ac:dyDescent="0.2">
      <c r="A102" s="1">
        <v>2901</v>
      </c>
      <c r="B102" s="178" t="s">
        <v>4079</v>
      </c>
      <c r="C102" s="970">
        <v>112474295.58</v>
      </c>
      <c r="D102" s="970">
        <v>16521065.869999999</v>
      </c>
      <c r="E102" s="1010">
        <f t="shared" si="4"/>
        <v>95953229.709999993</v>
      </c>
      <c r="F102" s="130"/>
      <c r="G102" s="970">
        <v>65516852.110000007</v>
      </c>
      <c r="H102" s="970">
        <f t="shared" si="6"/>
        <v>16343177.899999999</v>
      </c>
      <c r="I102" s="970">
        <v>81860030.010000005</v>
      </c>
      <c r="J102" s="970">
        <f t="shared" si="5"/>
        <v>16521065.869999999</v>
      </c>
      <c r="K102" s="970">
        <v>1024852.9</v>
      </c>
      <c r="L102" s="1010">
        <f t="shared" si="7"/>
        <v>64314111.24000001</v>
      </c>
    </row>
    <row r="103" spans="1:12" x14ac:dyDescent="0.2">
      <c r="A103" s="1">
        <v>2902</v>
      </c>
      <c r="B103" s="178" t="s">
        <v>4080</v>
      </c>
      <c r="C103" s="970">
        <v>26920180</v>
      </c>
      <c r="D103" s="970">
        <v>13517543.9</v>
      </c>
      <c r="E103" s="1010">
        <f t="shared" si="4"/>
        <v>13402636.1</v>
      </c>
      <c r="F103" s="130"/>
      <c r="G103" s="970">
        <v>7729134.4799999967</v>
      </c>
      <c r="H103" s="970">
        <f t="shared" si="6"/>
        <v>11513725.000000004</v>
      </c>
      <c r="I103" s="970">
        <v>19242859.48</v>
      </c>
      <c r="J103" s="970">
        <f t="shared" si="5"/>
        <v>13517543.9</v>
      </c>
      <c r="K103" s="970">
        <v>0</v>
      </c>
      <c r="L103" s="1010">
        <f t="shared" si="7"/>
        <v>5725315.5800000001</v>
      </c>
    </row>
    <row r="104" spans="1:12" x14ac:dyDescent="0.2">
      <c r="A104" s="1">
        <v>2904</v>
      </c>
      <c r="B104" s="178" t="s">
        <v>1295</v>
      </c>
      <c r="C104" s="970">
        <v>0</v>
      </c>
      <c r="D104" s="970">
        <v>45764</v>
      </c>
      <c r="E104" s="1010">
        <f t="shared" si="4"/>
        <v>-45764</v>
      </c>
      <c r="F104" s="130"/>
      <c r="G104" s="970">
        <v>1789293.21</v>
      </c>
      <c r="H104" s="970">
        <f t="shared" si="6"/>
        <v>228820</v>
      </c>
      <c r="I104" s="970">
        <v>2018113.21</v>
      </c>
      <c r="J104" s="970">
        <f t="shared" si="5"/>
        <v>45764</v>
      </c>
      <c r="K104" s="970">
        <v>0</v>
      </c>
      <c r="L104" s="1010">
        <f t="shared" si="7"/>
        <v>1972349.21</v>
      </c>
    </row>
    <row r="105" spans="1:12" x14ac:dyDescent="0.2">
      <c r="A105" s="1">
        <v>2905</v>
      </c>
      <c r="B105" s="178" t="s">
        <v>697</v>
      </c>
      <c r="C105" s="970">
        <v>70911632</v>
      </c>
      <c r="D105" s="970">
        <v>12022263.85</v>
      </c>
      <c r="E105" s="1010">
        <f t="shared" si="4"/>
        <v>58889368.149999999</v>
      </c>
      <c r="F105" s="130"/>
      <c r="G105" s="970">
        <v>39939222.239999995</v>
      </c>
      <c r="H105" s="970">
        <f t="shared" si="6"/>
        <v>14757512.000000007</v>
      </c>
      <c r="I105" s="970">
        <v>54696734.240000002</v>
      </c>
      <c r="J105" s="970">
        <f t="shared" si="5"/>
        <v>12022263.85</v>
      </c>
      <c r="K105" s="970">
        <v>2022787.11</v>
      </c>
      <c r="L105" s="1010">
        <f t="shared" si="7"/>
        <v>40651683.280000001</v>
      </c>
    </row>
    <row r="106" spans="1:12" x14ac:dyDescent="0.2">
      <c r="A106" s="1">
        <v>2906</v>
      </c>
      <c r="B106" s="178" t="s">
        <v>1298</v>
      </c>
      <c r="C106" s="970">
        <v>12453869</v>
      </c>
      <c r="D106" s="970">
        <v>4339286.45</v>
      </c>
      <c r="E106" s="1010">
        <f t="shared" si="4"/>
        <v>8114582.5499999998</v>
      </c>
      <c r="F106" s="130"/>
      <c r="G106" s="970">
        <v>4021669.3499999996</v>
      </c>
      <c r="H106" s="970">
        <f t="shared" si="6"/>
        <v>5901540</v>
      </c>
      <c r="I106" s="970">
        <v>9923209.3499999996</v>
      </c>
      <c r="J106" s="970">
        <f t="shared" si="5"/>
        <v>4339286.45</v>
      </c>
      <c r="K106" s="970">
        <v>0</v>
      </c>
      <c r="L106" s="1010">
        <f t="shared" si="7"/>
        <v>5583922.8999999994</v>
      </c>
    </row>
    <row r="107" spans="1:12" x14ac:dyDescent="0.2">
      <c r="A107" s="1">
        <v>2907</v>
      </c>
      <c r="B107" s="178" t="s">
        <v>467</v>
      </c>
      <c r="C107" s="970">
        <v>15176863</v>
      </c>
      <c r="D107" s="970">
        <v>605190</v>
      </c>
      <c r="E107" s="1010">
        <f t="shared" si="4"/>
        <v>14571673</v>
      </c>
      <c r="F107" s="130"/>
      <c r="G107" s="970">
        <v>15176863.18</v>
      </c>
      <c r="H107" s="970">
        <f t="shared" si="6"/>
        <v>0</v>
      </c>
      <c r="I107" s="970">
        <v>15176863.18</v>
      </c>
      <c r="J107" s="970">
        <f t="shared" si="5"/>
        <v>605190</v>
      </c>
      <c r="K107" s="970">
        <v>0</v>
      </c>
      <c r="L107" s="1010">
        <f t="shared" si="7"/>
        <v>14571673.18</v>
      </c>
    </row>
    <row r="108" spans="1:12" x14ac:dyDescent="0.2">
      <c r="A108" s="1">
        <v>2908</v>
      </c>
      <c r="B108" s="178" t="s">
        <v>1299</v>
      </c>
      <c r="C108" s="970">
        <v>4329698.38</v>
      </c>
      <c r="D108" s="970">
        <v>0</v>
      </c>
      <c r="E108" s="1010">
        <f t="shared" si="4"/>
        <v>4329698.38</v>
      </c>
      <c r="F108" s="130"/>
      <c r="G108" s="970">
        <v>229698.37999999989</v>
      </c>
      <c r="H108" s="970">
        <f t="shared" si="6"/>
        <v>0</v>
      </c>
      <c r="I108" s="970">
        <v>229698.38</v>
      </c>
      <c r="J108" s="970">
        <f t="shared" si="5"/>
        <v>0</v>
      </c>
      <c r="K108" s="970">
        <v>0</v>
      </c>
      <c r="L108" s="1010">
        <f t="shared" si="7"/>
        <v>229698.38</v>
      </c>
    </row>
    <row r="109" spans="1:12" x14ac:dyDescent="0.2">
      <c r="A109" s="1">
        <v>2909</v>
      </c>
      <c r="B109" s="178" t="s">
        <v>1251</v>
      </c>
      <c r="C109" s="970">
        <v>8000000</v>
      </c>
      <c r="D109" s="970">
        <v>988173.7</v>
      </c>
      <c r="E109" s="1010">
        <f t="shared" si="4"/>
        <v>7011826.2999999998</v>
      </c>
      <c r="F109" s="130"/>
      <c r="G109" s="970">
        <v>4180674.4799999995</v>
      </c>
      <c r="H109" s="970">
        <f t="shared" si="6"/>
        <v>570000.00000000093</v>
      </c>
      <c r="I109" s="970">
        <v>4750674.4800000004</v>
      </c>
      <c r="J109" s="970">
        <f t="shared" si="5"/>
        <v>988173.7</v>
      </c>
      <c r="K109" s="970">
        <v>0</v>
      </c>
      <c r="L109" s="1010">
        <f t="shared" si="7"/>
        <v>3762500.7800000003</v>
      </c>
    </row>
    <row r="110" spans="1:12" x14ac:dyDescent="0.2">
      <c r="A110" s="1">
        <v>2911</v>
      </c>
      <c r="B110" s="178" t="s">
        <v>1092</v>
      </c>
      <c r="C110" s="970">
        <v>2800000</v>
      </c>
      <c r="D110" s="970">
        <v>0</v>
      </c>
      <c r="E110" s="1010">
        <f t="shared" si="4"/>
        <v>2800000</v>
      </c>
      <c r="F110" s="130"/>
      <c r="G110" s="970">
        <v>16171959.93</v>
      </c>
      <c r="H110" s="970">
        <f t="shared" si="6"/>
        <v>6670097</v>
      </c>
      <c r="I110" s="970">
        <v>22842056.93</v>
      </c>
      <c r="J110" s="970">
        <f t="shared" si="5"/>
        <v>0</v>
      </c>
      <c r="K110" s="970">
        <v>2800000</v>
      </c>
      <c r="L110" s="1010">
        <f t="shared" si="7"/>
        <v>20042056.93</v>
      </c>
    </row>
    <row r="111" spans="1:12" x14ac:dyDescent="0.2">
      <c r="A111" s="1">
        <v>2912</v>
      </c>
      <c r="B111" s="178" t="s">
        <v>849</v>
      </c>
      <c r="C111" s="970">
        <v>466756.62</v>
      </c>
      <c r="D111" s="970">
        <v>205099.15</v>
      </c>
      <c r="E111" s="1010">
        <f t="shared" si="4"/>
        <v>261657.47</v>
      </c>
      <c r="F111" s="130"/>
      <c r="G111" s="970">
        <v>236830.62</v>
      </c>
      <c r="H111" s="970">
        <f t="shared" si="6"/>
        <v>147393</v>
      </c>
      <c r="I111" s="970">
        <v>384223.62</v>
      </c>
      <c r="J111" s="970">
        <f t="shared" si="5"/>
        <v>205099.15</v>
      </c>
      <c r="K111" s="970">
        <v>0</v>
      </c>
      <c r="L111" s="1010">
        <f t="shared" si="7"/>
        <v>179124.47</v>
      </c>
    </row>
    <row r="112" spans="1:12" x14ac:dyDescent="0.2">
      <c r="A112" s="1">
        <v>2920</v>
      </c>
      <c r="B112" s="178" t="s">
        <v>13</v>
      </c>
      <c r="C112" s="970">
        <v>3533325</v>
      </c>
      <c r="D112" s="970">
        <v>2103010.25</v>
      </c>
      <c r="E112" s="1010">
        <f t="shared" si="4"/>
        <v>1430314.75</v>
      </c>
      <c r="F112" s="130"/>
      <c r="G112" s="970">
        <v>3900524.5100000002</v>
      </c>
      <c r="H112" s="970">
        <f t="shared" si="6"/>
        <v>1191417.9999999995</v>
      </c>
      <c r="I112" s="970">
        <v>5091942.51</v>
      </c>
      <c r="J112" s="970">
        <f t="shared" si="5"/>
        <v>2103010.25</v>
      </c>
      <c r="K112" s="970">
        <v>0</v>
      </c>
      <c r="L112" s="1010">
        <f t="shared" si="7"/>
        <v>2988932.26</v>
      </c>
    </row>
    <row r="113" spans="1:12" x14ac:dyDescent="0.2">
      <c r="A113" s="1">
        <v>2922</v>
      </c>
      <c r="B113" s="178" t="s">
        <v>4081</v>
      </c>
      <c r="C113" s="970">
        <v>0</v>
      </c>
      <c r="D113" s="970">
        <v>0</v>
      </c>
      <c r="E113" s="1010">
        <f t="shared" si="4"/>
        <v>0</v>
      </c>
      <c r="F113" s="130"/>
      <c r="G113" s="970">
        <v>2619490.96</v>
      </c>
      <c r="H113" s="970">
        <f t="shared" si="6"/>
        <v>0</v>
      </c>
      <c r="I113" s="970">
        <v>2619490.96</v>
      </c>
      <c r="J113" s="970">
        <f t="shared" si="5"/>
        <v>0</v>
      </c>
      <c r="K113" s="970">
        <v>0</v>
      </c>
      <c r="L113" s="1010">
        <f t="shared" si="7"/>
        <v>2619490.96</v>
      </c>
    </row>
    <row r="114" spans="1:12" x14ac:dyDescent="0.2">
      <c r="A114" s="1">
        <v>2923</v>
      </c>
      <c r="B114" s="178" t="s">
        <v>4082</v>
      </c>
      <c r="C114" s="970">
        <v>36788031.93</v>
      </c>
      <c r="D114" s="970">
        <v>11205919.550000001</v>
      </c>
      <c r="E114" s="1010">
        <f t="shared" si="4"/>
        <v>25582112.379999999</v>
      </c>
      <c r="F114" s="130"/>
      <c r="G114" s="970">
        <v>8626464.4800000004</v>
      </c>
      <c r="H114" s="970">
        <f t="shared" si="6"/>
        <v>22343654.5</v>
      </c>
      <c r="I114" s="970">
        <v>30970118.98</v>
      </c>
      <c r="J114" s="970">
        <f t="shared" si="5"/>
        <v>11205919.550000001</v>
      </c>
      <c r="K114" s="970">
        <v>2446963.5</v>
      </c>
      <c r="L114" s="1010">
        <f t="shared" si="7"/>
        <v>17317235.93</v>
      </c>
    </row>
    <row r="115" spans="1:12" x14ac:dyDescent="0.2">
      <c r="A115" s="1">
        <v>2925</v>
      </c>
      <c r="B115" s="178" t="s">
        <v>163</v>
      </c>
      <c r="C115" s="970">
        <v>56560000</v>
      </c>
      <c r="D115" s="970">
        <v>15605124.4</v>
      </c>
      <c r="E115" s="1010">
        <f t="shared" si="4"/>
        <v>40954875.600000001</v>
      </c>
      <c r="F115" s="130"/>
      <c r="G115" s="970">
        <v>17928829.93</v>
      </c>
      <c r="H115" s="970">
        <f t="shared" si="6"/>
        <v>10605000</v>
      </c>
      <c r="I115" s="970">
        <v>28533829.93</v>
      </c>
      <c r="J115" s="970">
        <f t="shared" si="5"/>
        <v>15605124.4</v>
      </c>
      <c r="K115" s="970">
        <v>424000</v>
      </c>
      <c r="L115" s="1010">
        <f t="shared" si="7"/>
        <v>12504705.529999999</v>
      </c>
    </row>
    <row r="116" spans="1:12" x14ac:dyDescent="0.2">
      <c r="A116" s="1">
        <v>2940</v>
      </c>
      <c r="B116" s="178" t="s">
        <v>335</v>
      </c>
      <c r="C116" s="970">
        <v>24952000</v>
      </c>
      <c r="D116" s="970">
        <v>11212513.380000001</v>
      </c>
      <c r="E116" s="1010">
        <f t="shared" si="4"/>
        <v>13739486.619999999</v>
      </c>
      <c r="F116" s="130"/>
      <c r="G116" s="970">
        <v>15401526.48</v>
      </c>
      <c r="H116" s="970">
        <f t="shared" si="6"/>
        <v>13128083.629999999</v>
      </c>
      <c r="I116" s="970">
        <v>28529610.109999999</v>
      </c>
      <c r="J116" s="970">
        <f t="shared" si="5"/>
        <v>11212513.380000001</v>
      </c>
      <c r="K116" s="970">
        <v>0</v>
      </c>
      <c r="L116" s="1010">
        <f t="shared" si="7"/>
        <v>17317096.729999997</v>
      </c>
    </row>
    <row r="117" spans="1:12" x14ac:dyDescent="0.2">
      <c r="A117" s="1">
        <v>2941</v>
      </c>
      <c r="B117" s="178" t="s">
        <v>4083</v>
      </c>
      <c r="C117" s="970">
        <v>0</v>
      </c>
      <c r="D117" s="970">
        <v>6240</v>
      </c>
      <c r="E117" s="1010">
        <f t="shared" si="4"/>
        <v>-6240</v>
      </c>
      <c r="F117" s="130"/>
      <c r="G117" s="970">
        <v>534655.30000000005</v>
      </c>
      <c r="H117" s="970">
        <f t="shared" si="6"/>
        <v>31200</v>
      </c>
      <c r="I117" s="970">
        <v>565855.30000000005</v>
      </c>
      <c r="J117" s="970">
        <f t="shared" si="5"/>
        <v>6240</v>
      </c>
      <c r="K117" s="970">
        <v>0</v>
      </c>
      <c r="L117" s="1010">
        <f t="shared" si="7"/>
        <v>559615.30000000005</v>
      </c>
    </row>
    <row r="118" spans="1:12" x14ac:dyDescent="0.2">
      <c r="A118" s="1">
        <v>2942</v>
      </c>
      <c r="B118" s="178" t="s">
        <v>4084</v>
      </c>
      <c r="C118" s="970">
        <v>0</v>
      </c>
      <c r="D118" s="970">
        <v>0</v>
      </c>
      <c r="E118" s="1010">
        <f t="shared" si="4"/>
        <v>0</v>
      </c>
      <c r="F118" s="130"/>
      <c r="G118" s="970">
        <v>7677806.3499999996</v>
      </c>
      <c r="H118" s="970">
        <f t="shared" si="6"/>
        <v>0</v>
      </c>
      <c r="I118" s="970">
        <v>7677806.3499999996</v>
      </c>
      <c r="J118" s="970">
        <f t="shared" si="5"/>
        <v>0</v>
      </c>
      <c r="K118" s="970">
        <v>0</v>
      </c>
      <c r="L118" s="1010">
        <f t="shared" si="7"/>
        <v>7677806.3499999996</v>
      </c>
    </row>
    <row r="119" spans="1:12" x14ac:dyDescent="0.2">
      <c r="A119" s="1">
        <v>2943</v>
      </c>
      <c r="B119" s="178" t="s">
        <v>4085</v>
      </c>
      <c r="C119" s="970">
        <v>0</v>
      </c>
      <c r="D119" s="970">
        <v>0</v>
      </c>
      <c r="E119" s="1010">
        <f t="shared" si="4"/>
        <v>0</v>
      </c>
      <c r="F119" s="130"/>
      <c r="G119" s="970">
        <v>18855558.300000001</v>
      </c>
      <c r="H119" s="970">
        <f t="shared" si="6"/>
        <v>4600652</v>
      </c>
      <c r="I119" s="970">
        <v>23456210.300000001</v>
      </c>
      <c r="J119" s="970">
        <f t="shared" si="5"/>
        <v>0</v>
      </c>
      <c r="K119" s="970">
        <v>0</v>
      </c>
      <c r="L119" s="1010">
        <f t="shared" si="7"/>
        <v>23456210.300000001</v>
      </c>
    </row>
    <row r="120" spans="1:12" x14ac:dyDescent="0.2">
      <c r="A120" s="1">
        <v>2944</v>
      </c>
      <c r="B120" s="178" t="s">
        <v>337</v>
      </c>
      <c r="C120" s="970">
        <v>23436924</v>
      </c>
      <c r="D120" s="970">
        <v>2448806.9500000002</v>
      </c>
      <c r="E120" s="1010">
        <f t="shared" si="4"/>
        <v>20988117.050000001</v>
      </c>
      <c r="F120" s="130"/>
      <c r="G120" s="970">
        <v>65502183.280000001</v>
      </c>
      <c r="H120" s="970">
        <f t="shared" si="6"/>
        <v>2785924</v>
      </c>
      <c r="I120" s="970">
        <v>68288107.280000001</v>
      </c>
      <c r="J120" s="970">
        <f t="shared" si="5"/>
        <v>2448806.9500000002</v>
      </c>
      <c r="K120" s="970">
        <v>36924</v>
      </c>
      <c r="L120" s="1010">
        <f t="shared" si="7"/>
        <v>65802376.329999998</v>
      </c>
    </row>
    <row r="121" spans="1:12" x14ac:dyDescent="0.2">
      <c r="A121" s="1">
        <v>2945</v>
      </c>
      <c r="B121" s="178" t="s">
        <v>4086</v>
      </c>
      <c r="C121" s="970">
        <v>33000000</v>
      </c>
      <c r="D121" s="970">
        <v>12844374.470000001</v>
      </c>
      <c r="E121" s="1010">
        <f t="shared" si="4"/>
        <v>20155625.530000001</v>
      </c>
      <c r="F121" s="130"/>
      <c r="G121" s="970">
        <v>16309686.699999999</v>
      </c>
      <c r="H121" s="970">
        <f t="shared" si="6"/>
        <v>6313700</v>
      </c>
      <c r="I121" s="970">
        <v>22623386.699999999</v>
      </c>
      <c r="J121" s="970">
        <f t="shared" si="5"/>
        <v>12844374.470000001</v>
      </c>
      <c r="K121" s="970">
        <v>0</v>
      </c>
      <c r="L121" s="1010">
        <f t="shared" si="7"/>
        <v>9779012.2299999986</v>
      </c>
    </row>
    <row r="122" spans="1:12" x14ac:dyDescent="0.2">
      <c r="A122" s="1">
        <v>2946</v>
      </c>
      <c r="B122" s="178" t="s">
        <v>4087</v>
      </c>
      <c r="C122" s="970">
        <v>0</v>
      </c>
      <c r="D122" s="970">
        <v>14000</v>
      </c>
      <c r="E122" s="1010">
        <f t="shared" si="4"/>
        <v>-14000</v>
      </c>
      <c r="F122" s="130"/>
      <c r="G122" s="970">
        <v>1124154.73</v>
      </c>
      <c r="H122" s="970">
        <f t="shared" si="6"/>
        <v>70000</v>
      </c>
      <c r="I122" s="970">
        <v>1194154.73</v>
      </c>
      <c r="J122" s="970">
        <f t="shared" si="5"/>
        <v>14000</v>
      </c>
      <c r="K122" s="970">
        <v>0</v>
      </c>
      <c r="L122" s="1010">
        <f t="shared" si="7"/>
        <v>1180154.73</v>
      </c>
    </row>
    <row r="123" spans="1:12" x14ac:dyDescent="0.2">
      <c r="A123" s="1">
        <v>2948</v>
      </c>
      <c r="B123" s="178" t="s">
        <v>4088</v>
      </c>
      <c r="C123" s="970">
        <v>0</v>
      </c>
      <c r="D123" s="970">
        <v>0</v>
      </c>
      <c r="E123" s="1010">
        <f t="shared" si="4"/>
        <v>0</v>
      </c>
      <c r="F123" s="130"/>
      <c r="G123" s="970">
        <v>22841937.870000001</v>
      </c>
      <c r="H123" s="970">
        <f t="shared" si="6"/>
        <v>2945179</v>
      </c>
      <c r="I123" s="970">
        <v>25787116.870000001</v>
      </c>
      <c r="J123" s="970">
        <f t="shared" si="5"/>
        <v>0</v>
      </c>
      <c r="K123" s="970">
        <v>0</v>
      </c>
      <c r="L123" s="1010">
        <f t="shared" si="7"/>
        <v>25787116.870000001</v>
      </c>
    </row>
    <row r="124" spans="1:12" x14ac:dyDescent="0.2">
      <c r="A124" s="1">
        <v>2950</v>
      </c>
      <c r="B124" s="178" t="s">
        <v>4089</v>
      </c>
      <c r="C124" s="970">
        <v>0</v>
      </c>
      <c r="D124" s="970">
        <v>0</v>
      </c>
      <c r="E124" s="1010">
        <f t="shared" si="4"/>
        <v>0</v>
      </c>
      <c r="F124" s="130"/>
      <c r="G124" s="970">
        <v>1929770.3999999994</v>
      </c>
      <c r="H124" s="970">
        <f t="shared" si="6"/>
        <v>-532153.99999999953</v>
      </c>
      <c r="I124" s="970">
        <v>1397616.4</v>
      </c>
      <c r="J124" s="970">
        <f t="shared" si="5"/>
        <v>0</v>
      </c>
      <c r="K124" s="970">
        <v>0</v>
      </c>
      <c r="L124" s="1010">
        <f t="shared" si="7"/>
        <v>1397616.4</v>
      </c>
    </row>
    <row r="125" spans="1:12" x14ac:dyDescent="0.2">
      <c r="A125" s="1">
        <v>2951</v>
      </c>
      <c r="B125" s="178" t="s">
        <v>14</v>
      </c>
      <c r="C125" s="970">
        <v>31826584.899999999</v>
      </c>
      <c r="D125" s="970">
        <v>3562365</v>
      </c>
      <c r="E125" s="1010">
        <f t="shared" si="4"/>
        <v>28264219.899999999</v>
      </c>
      <c r="F125" s="130"/>
      <c r="G125" s="970">
        <v>16158169.540000001</v>
      </c>
      <c r="H125" s="970">
        <f t="shared" si="6"/>
        <v>8758021.9000000004</v>
      </c>
      <c r="I125" s="970">
        <v>24916191.440000001</v>
      </c>
      <c r="J125" s="970">
        <f t="shared" si="5"/>
        <v>3562365</v>
      </c>
      <c r="K125" s="970">
        <v>4957250</v>
      </c>
      <c r="L125" s="1010">
        <f t="shared" si="7"/>
        <v>16396576.440000001</v>
      </c>
    </row>
    <row r="126" spans="1:12" x14ac:dyDescent="0.2">
      <c r="A126" s="1">
        <v>2952</v>
      </c>
      <c r="B126" s="178" t="s">
        <v>4090</v>
      </c>
      <c r="C126" s="970">
        <v>0</v>
      </c>
      <c r="D126" s="970">
        <v>0</v>
      </c>
      <c r="E126" s="1010">
        <f t="shared" si="4"/>
        <v>0</v>
      </c>
      <c r="F126" s="130"/>
      <c r="G126" s="970">
        <v>2657770.5099999998</v>
      </c>
      <c r="H126" s="970">
        <f t="shared" si="6"/>
        <v>0</v>
      </c>
      <c r="I126" s="970">
        <v>2657770.5099999998</v>
      </c>
      <c r="J126" s="970">
        <f t="shared" si="5"/>
        <v>0</v>
      </c>
      <c r="K126" s="970">
        <v>0</v>
      </c>
      <c r="L126" s="1010">
        <f t="shared" si="7"/>
        <v>2657770.5099999998</v>
      </c>
    </row>
    <row r="127" spans="1:12" x14ac:dyDescent="0.2">
      <c r="A127" s="1">
        <v>2961</v>
      </c>
      <c r="B127" s="178" t="s">
        <v>4091</v>
      </c>
      <c r="C127" s="970">
        <v>31937497.84</v>
      </c>
      <c r="D127" s="970">
        <v>3478694.11</v>
      </c>
      <c r="E127" s="1010">
        <f t="shared" si="4"/>
        <v>28458803.73</v>
      </c>
      <c r="F127" s="130"/>
      <c r="G127" s="970">
        <v>13187600.859999999</v>
      </c>
      <c r="H127" s="970">
        <f t="shared" si="6"/>
        <v>9384997</v>
      </c>
      <c r="I127" s="970">
        <v>22572597.859999999</v>
      </c>
      <c r="J127" s="970">
        <f t="shared" si="5"/>
        <v>3478694.11</v>
      </c>
      <c r="K127" s="970">
        <v>0</v>
      </c>
      <c r="L127" s="1010">
        <f t="shared" si="7"/>
        <v>19093903.75</v>
      </c>
    </row>
    <row r="128" spans="1:12" x14ac:dyDescent="0.2">
      <c r="A128" s="1">
        <v>2962</v>
      </c>
      <c r="B128" s="178" t="s">
        <v>4092</v>
      </c>
      <c r="C128" s="970">
        <v>0</v>
      </c>
      <c r="D128" s="970">
        <v>288120</v>
      </c>
      <c r="E128" s="1010">
        <f t="shared" si="4"/>
        <v>-288120</v>
      </c>
      <c r="F128" s="130"/>
      <c r="G128" s="970">
        <v>18553520</v>
      </c>
      <c r="H128" s="970">
        <f t="shared" si="6"/>
        <v>1482100</v>
      </c>
      <c r="I128" s="970">
        <v>20035620</v>
      </c>
      <c r="J128" s="970">
        <f t="shared" si="5"/>
        <v>288120</v>
      </c>
      <c r="K128" s="970">
        <v>0</v>
      </c>
      <c r="L128" s="1010">
        <f t="shared" si="7"/>
        <v>19747500</v>
      </c>
    </row>
    <row r="129" spans="1:12" x14ac:dyDescent="0.2">
      <c r="A129" s="1">
        <v>2965</v>
      </c>
      <c r="B129" s="178" t="s">
        <v>4093</v>
      </c>
      <c r="C129" s="970">
        <v>32123988.66</v>
      </c>
      <c r="D129" s="970">
        <v>11737172.310000001</v>
      </c>
      <c r="E129" s="1010">
        <f t="shared" si="4"/>
        <v>20386816.350000001</v>
      </c>
      <c r="F129" s="130"/>
      <c r="G129" s="970">
        <v>28428335.889999997</v>
      </c>
      <c r="H129" s="970">
        <f t="shared" si="6"/>
        <v>9907200.0000000037</v>
      </c>
      <c r="I129" s="970">
        <v>38335535.890000001</v>
      </c>
      <c r="J129" s="970">
        <f t="shared" si="5"/>
        <v>11737172.310000001</v>
      </c>
      <c r="K129" s="970">
        <v>0</v>
      </c>
      <c r="L129" s="1010">
        <f t="shared" si="7"/>
        <v>26598363.579999998</v>
      </c>
    </row>
    <row r="130" spans="1:12" x14ac:dyDescent="0.2">
      <c r="A130" s="1">
        <v>2966</v>
      </c>
      <c r="B130" s="178" t="s">
        <v>4094</v>
      </c>
      <c r="C130" s="970">
        <v>0</v>
      </c>
      <c r="D130" s="970">
        <v>0</v>
      </c>
      <c r="E130" s="1010">
        <f t="shared" si="4"/>
        <v>0</v>
      </c>
      <c r="F130" s="130"/>
      <c r="G130" s="970">
        <v>3401502.26</v>
      </c>
      <c r="H130" s="970">
        <f t="shared" si="6"/>
        <v>0</v>
      </c>
      <c r="I130" s="970">
        <v>3401502.26</v>
      </c>
      <c r="J130" s="970">
        <f t="shared" si="5"/>
        <v>0</v>
      </c>
      <c r="K130" s="970">
        <v>0</v>
      </c>
      <c r="L130" s="1010">
        <f t="shared" si="7"/>
        <v>3401502.26</v>
      </c>
    </row>
    <row r="131" spans="1:12" x14ac:dyDescent="0.2">
      <c r="A131" s="1">
        <v>2980</v>
      </c>
      <c r="B131" s="178" t="s">
        <v>4095</v>
      </c>
      <c r="C131" s="970">
        <v>920600</v>
      </c>
      <c r="D131" s="970">
        <v>1082262.8700000001</v>
      </c>
      <c r="E131" s="1010">
        <f t="shared" ref="E131:E132" si="8">C131-D131</f>
        <v>-161662.87000000011</v>
      </c>
      <c r="F131" s="130"/>
      <c r="G131" s="970">
        <v>22632256.720000003</v>
      </c>
      <c r="H131" s="970">
        <f t="shared" si="6"/>
        <v>6331914.3999999985</v>
      </c>
      <c r="I131" s="970">
        <v>28964171.120000001</v>
      </c>
      <c r="J131" s="970">
        <f t="shared" ref="J131:J132" si="9">D131</f>
        <v>1082262.8700000001</v>
      </c>
      <c r="K131" s="970">
        <v>920600</v>
      </c>
      <c r="L131" s="1010">
        <f t="shared" si="7"/>
        <v>26961308.25</v>
      </c>
    </row>
    <row r="132" spans="1:12" x14ac:dyDescent="0.2">
      <c r="A132" s="1">
        <v>2981</v>
      </c>
      <c r="B132" s="178" t="s">
        <v>4096</v>
      </c>
      <c r="C132" s="970">
        <v>0</v>
      </c>
      <c r="D132" s="970">
        <v>0</v>
      </c>
      <c r="E132" s="1010">
        <f t="shared" si="8"/>
        <v>0</v>
      </c>
      <c r="F132" s="130"/>
      <c r="G132" s="970">
        <v>25025656.120000001</v>
      </c>
      <c r="H132" s="970">
        <f t="shared" ref="H132" si="10">I132-G132</f>
        <v>5954676</v>
      </c>
      <c r="I132" s="970">
        <v>30980332.120000001</v>
      </c>
      <c r="J132" s="970">
        <f t="shared" si="9"/>
        <v>0</v>
      </c>
      <c r="K132" s="970">
        <v>0</v>
      </c>
      <c r="L132" s="1010">
        <f t="shared" ref="L132" si="11">I132-J132-K132</f>
        <v>30980332.120000001</v>
      </c>
    </row>
    <row r="133" spans="1:12" x14ac:dyDescent="0.2">
      <c r="A133" s="1"/>
      <c r="B133" s="178"/>
      <c r="E133" s="1010"/>
      <c r="F133" s="130"/>
      <c r="G133" s="970"/>
      <c r="L133" s="1010"/>
    </row>
    <row r="134" spans="1:12" ht="15" x14ac:dyDescent="0.25">
      <c r="A134" s="1011"/>
      <c r="B134" s="1012" t="s">
        <v>1024</v>
      </c>
      <c r="C134" s="973">
        <f>SUM(C3:C133)</f>
        <v>5141314510.6699982</v>
      </c>
      <c r="D134" s="973">
        <f>SUM(D3:D133)</f>
        <v>1213820864.7200003</v>
      </c>
      <c r="E134" s="1013">
        <f>SUM(E3:E132)</f>
        <v>3927493645.9500017</v>
      </c>
      <c r="F134" s="220"/>
      <c r="G134" s="973">
        <f t="shared" ref="G134:L134" si="12">SUM(G3:G133)</f>
        <v>3113956520.0199995</v>
      </c>
      <c r="H134" s="973">
        <f t="shared" si="12"/>
        <v>1614995604.8400004</v>
      </c>
      <c r="I134" s="973">
        <f t="shared" si="12"/>
        <v>4741752124.8599977</v>
      </c>
      <c r="J134" s="973">
        <f t="shared" si="12"/>
        <v>1213820864.7200003</v>
      </c>
      <c r="K134" s="973">
        <f t="shared" si="12"/>
        <v>247223378.76999998</v>
      </c>
      <c r="L134" s="973">
        <f t="shared" si="12"/>
        <v>3280707881.3700008</v>
      </c>
    </row>
    <row r="135" spans="1:12" x14ac:dyDescent="0.2">
      <c r="A135" s="1"/>
      <c r="B135" s="178"/>
      <c r="E135" s="1010"/>
      <c r="F135" s="130"/>
      <c r="G135" s="970"/>
    </row>
    <row r="136" spans="1:12" x14ac:dyDescent="0.2">
      <c r="A136" s="1"/>
      <c r="B136" s="178"/>
      <c r="E136" s="1010"/>
      <c r="F136" s="130"/>
      <c r="G136" s="970"/>
    </row>
    <row r="137" spans="1:12" x14ac:dyDescent="0.2">
      <c r="A137" s="1">
        <v>2500</v>
      </c>
      <c r="B137" s="178" t="s">
        <v>808</v>
      </c>
      <c r="C137" s="970">
        <v>-115772456.42</v>
      </c>
      <c r="D137" s="970">
        <v>0</v>
      </c>
      <c r="E137" s="1010">
        <f t="shared" ref="E137:E141" si="13">C137-D137</f>
        <v>-115772456.42</v>
      </c>
      <c r="F137" s="130"/>
      <c r="G137" s="970"/>
    </row>
    <row r="138" spans="1:12" x14ac:dyDescent="0.2">
      <c r="A138" s="1">
        <v>2600</v>
      </c>
      <c r="B138" s="178" t="s">
        <v>4097</v>
      </c>
      <c r="C138" s="970">
        <v>309176065.13</v>
      </c>
      <c r="D138" s="970">
        <v>0</v>
      </c>
      <c r="E138" s="1010">
        <f t="shared" si="13"/>
        <v>309176065.13</v>
      </c>
      <c r="F138" s="130"/>
      <c r="G138" s="970"/>
    </row>
    <row r="139" spans="1:12" x14ac:dyDescent="0.2">
      <c r="A139" s="1">
        <v>2700</v>
      </c>
      <c r="B139" s="178" t="s">
        <v>1421</v>
      </c>
      <c r="C139" s="970">
        <v>-110034001.91</v>
      </c>
      <c r="D139" s="970">
        <v>0</v>
      </c>
      <c r="E139" s="1010">
        <f t="shared" si="13"/>
        <v>-110034001.91</v>
      </c>
      <c r="F139" s="130"/>
      <c r="G139" s="970"/>
    </row>
    <row r="140" spans="1:12" x14ac:dyDescent="0.2">
      <c r="A140" s="1">
        <v>2800</v>
      </c>
      <c r="B140" s="178" t="s">
        <v>869</v>
      </c>
      <c r="C140" s="970">
        <v>129116869.90000001</v>
      </c>
      <c r="D140" s="970">
        <v>0</v>
      </c>
      <c r="E140" s="1010">
        <f t="shared" si="13"/>
        <v>129116869.90000001</v>
      </c>
      <c r="F140" s="130"/>
      <c r="G140" s="970"/>
    </row>
    <row r="141" spans="1:12" x14ac:dyDescent="0.2">
      <c r="A141" s="1">
        <v>2900</v>
      </c>
      <c r="B141" s="178" t="s">
        <v>4098</v>
      </c>
      <c r="C141" s="970">
        <v>146199012.63</v>
      </c>
      <c r="D141" s="970">
        <v>0</v>
      </c>
      <c r="E141" s="1010">
        <f t="shared" si="13"/>
        <v>146199012.63</v>
      </c>
      <c r="F141" s="130"/>
      <c r="G141" s="970"/>
    </row>
    <row r="142" spans="1:12" x14ac:dyDescent="0.2">
      <c r="A142" s="1"/>
      <c r="B142" s="178"/>
      <c r="E142" s="1010"/>
      <c r="F142" s="130"/>
      <c r="G142" s="970"/>
    </row>
    <row r="143" spans="1:12" ht="15.75" thickBot="1" x14ac:dyDescent="0.3">
      <c r="A143" s="1"/>
      <c r="B143" s="976" t="s">
        <v>4099</v>
      </c>
      <c r="C143" s="976">
        <f>SUM(C137:C142)</f>
        <v>358685489.32999998</v>
      </c>
      <c r="E143" s="1010"/>
      <c r="F143" s="130"/>
      <c r="G143" s="970"/>
    </row>
    <row r="144" spans="1:12" x14ac:dyDescent="0.2">
      <c r="A144" s="1"/>
      <c r="B144" s="178"/>
      <c r="E144" s="1010"/>
      <c r="F144" s="130"/>
      <c r="G144" s="970"/>
    </row>
    <row r="145" spans="1:12" x14ac:dyDescent="0.2">
      <c r="A145" s="1"/>
      <c r="B145" s="178"/>
      <c r="E145" s="1010"/>
      <c r="F145" s="130"/>
      <c r="G145" s="970"/>
    </row>
    <row r="146" spans="1:12" ht="15.75" thickBot="1" x14ac:dyDescent="0.3">
      <c r="A146" s="131"/>
      <c r="B146" s="977" t="s">
        <v>4100</v>
      </c>
      <c r="C146" s="976">
        <f>C134+C143</f>
        <v>5499999999.9999981</v>
      </c>
      <c r="D146" s="976">
        <f>D134+D143</f>
        <v>1213820864.7200003</v>
      </c>
      <c r="E146" s="976">
        <f>C146-D146</f>
        <v>4286179135.2799978</v>
      </c>
      <c r="F146" s="130"/>
      <c r="G146" s="976">
        <f>G134</f>
        <v>3113956520.0199995</v>
      </c>
      <c r="H146" s="976">
        <f t="shared" ref="H146:L146" si="14">H134</f>
        <v>1614995604.8400004</v>
      </c>
      <c r="I146" s="976">
        <f t="shared" si="14"/>
        <v>4741752124.8599977</v>
      </c>
      <c r="J146" s="976">
        <f t="shared" si="14"/>
        <v>1213820864.7200003</v>
      </c>
      <c r="K146" s="976">
        <f t="shared" si="14"/>
        <v>247223378.76999998</v>
      </c>
      <c r="L146" s="976">
        <f t="shared" si="14"/>
        <v>3280707881.3700008</v>
      </c>
    </row>
    <row r="147" spans="1:12" x14ac:dyDescent="0.2">
      <c r="A147" s="1"/>
      <c r="B147" s="178"/>
      <c r="E147" s="1010"/>
      <c r="G147" s="970"/>
    </row>
    <row r="148" spans="1:12" ht="15" x14ac:dyDescent="0.25">
      <c r="A148" s="1"/>
      <c r="B148" s="178"/>
      <c r="C148" s="178"/>
      <c r="D148" s="178"/>
      <c r="E148" s="3"/>
      <c r="F148" s="178"/>
      <c r="G148" s="178"/>
      <c r="H148" s="178"/>
      <c r="I148" s="108" t="s">
        <v>251</v>
      </c>
      <c r="J148" s="1014"/>
      <c r="K148" s="1014"/>
      <c r="L148" s="108">
        <f>L146</f>
        <v>3280707881.3700008</v>
      </c>
    </row>
    <row r="149" spans="1:12" ht="15" x14ac:dyDescent="0.25">
      <c r="A149" s="1"/>
      <c r="B149" s="1014"/>
      <c r="C149" s="178"/>
      <c r="D149" s="178"/>
      <c r="E149" s="3"/>
      <c r="F149" s="178"/>
      <c r="G149" s="178"/>
      <c r="H149" s="178"/>
      <c r="I149" s="108"/>
      <c r="J149" s="1014"/>
      <c r="K149" s="1014"/>
      <c r="L149" s="1014"/>
    </row>
    <row r="150" spans="1:12" ht="15" x14ac:dyDescent="0.25">
      <c r="A150" s="1"/>
      <c r="B150" s="1014"/>
      <c r="C150" s="178"/>
      <c r="D150" s="178"/>
      <c r="E150" s="3"/>
      <c r="F150" s="178"/>
      <c r="G150" s="178"/>
      <c r="H150" s="178"/>
      <c r="I150" s="108" t="s">
        <v>3578</v>
      </c>
      <c r="J150" s="1014"/>
      <c r="K150" s="1014"/>
      <c r="L150" s="1015">
        <f>K146</f>
        <v>247223378.76999998</v>
      </c>
    </row>
    <row r="151" spans="1:12" ht="15" x14ac:dyDescent="0.25">
      <c r="A151" s="1"/>
      <c r="B151" s="178"/>
      <c r="C151" s="178"/>
      <c r="D151" s="178"/>
      <c r="E151" s="3"/>
      <c r="F151" s="178"/>
      <c r="G151" s="178"/>
      <c r="H151" s="178"/>
      <c r="I151" s="108"/>
      <c r="J151" s="1014"/>
      <c r="K151" s="1014"/>
      <c r="L151" s="1014"/>
    </row>
    <row r="152" spans="1:12" ht="15.75" thickBot="1" x14ac:dyDescent="0.3">
      <c r="A152" s="1"/>
      <c r="B152" s="178"/>
      <c r="C152" s="178"/>
      <c r="D152" s="178"/>
      <c r="E152" s="3"/>
      <c r="F152" s="178"/>
      <c r="G152" s="178"/>
      <c r="H152" s="178"/>
      <c r="I152" s="108" t="s">
        <v>4173</v>
      </c>
      <c r="J152" s="1014"/>
      <c r="K152" s="1014"/>
      <c r="L152" s="1016">
        <f>L148+L150</f>
        <v>3527931260.1400008</v>
      </c>
    </row>
    <row r="153" spans="1:12" ht="13.5" thickTop="1" x14ac:dyDescent="0.2">
      <c r="A153" s="1"/>
      <c r="B153" s="178"/>
      <c r="C153" s="178"/>
      <c r="D153" s="178"/>
      <c r="E153" s="3"/>
      <c r="F153" s="178"/>
      <c r="G153" s="178"/>
      <c r="H153" s="178"/>
    </row>
  </sheetData>
  <mergeCells count="2">
    <mergeCell ref="G1:L1"/>
    <mergeCell ref="A1:E1"/>
  </mergeCells>
  <phoneticPr fontId="0" type="noConversion"/>
  <pageMargins left="1.1811023622047245" right="0.19685039370078741" top="1.4566929133858268" bottom="1.1023622047244095" header="0.55118110236220474" footer="0.47244094488188981"/>
  <pageSetup paperSize="9" scale="53" firstPageNumber="49" fitToHeight="0" orientation="landscape" r:id="rId1"/>
  <headerFooter alignWithMargins="0">
    <oddHeader>&amp;C&amp;"Arial,Negrita"&amp;11UNIVERSIDAD DE COSTA RICA
VICERRECTORÍA DE ADMINISTRACIÓN
OFICINA DE ADMINISTRACIÓN FINANCIERA
ESTADO GENERAL POR UNIDADES  
PROYECTOS DEL VÍNCULO EXTERNO EMPRESAS AUXILIARES
Al 30 de junio de 2017
(Expresado en colones)</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9"/>
  <sheetViews>
    <sheetView workbookViewId="0">
      <selection activeCell="D10" sqref="D10"/>
    </sheetView>
  </sheetViews>
  <sheetFormatPr baseColWidth="10" defaultRowHeight="12.75" x14ac:dyDescent="0.2"/>
  <sheetData>
    <row r="19" spans="1:1" x14ac:dyDescent="0.2">
      <c r="A19" s="2"/>
    </row>
  </sheetData>
  <phoneticPr fontId="0" type="noConversion"/>
  <printOptions horizontalCentered="1" verticalCentered="1"/>
  <pageMargins left="1.1811023622047245" right="0.74803149606299213" top="0" bottom="0.98425196850393704" header="0" footer="0"/>
  <pageSetup paperSize="9" scale="95" firstPageNumber="53"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F10" sqref="F10"/>
    </sheetView>
  </sheetViews>
  <sheetFormatPr baseColWidth="10" defaultRowHeight="12.75" x14ac:dyDescent="0.2"/>
  <sheetData/>
  <phoneticPr fontId="0" type="noConversion"/>
  <printOptions horizontalCentered="1" verticalCentered="1"/>
  <pageMargins left="1.1811023622047245" right="0.74803149606299213" top="0" bottom="0.98425196850393704" header="0" footer="0"/>
  <pageSetup paperSize="9" scale="95"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E52"/>
  <sheetViews>
    <sheetView topLeftCell="A25" workbookViewId="0">
      <selection activeCell="A46" sqref="A46:C47"/>
    </sheetView>
  </sheetViews>
  <sheetFormatPr baseColWidth="10" defaultRowHeight="14.25" x14ac:dyDescent="0.2"/>
  <cols>
    <col min="1" max="1" width="55.140625" style="5" customWidth="1"/>
    <col min="2" max="2" width="2.5703125" style="5" customWidth="1"/>
    <col min="3" max="3" width="23.140625" style="13" customWidth="1"/>
    <col min="4" max="4" width="6.28515625" style="957" customWidth="1"/>
    <col min="5" max="5" width="9.28515625" style="794" customWidth="1"/>
    <col min="6" max="251" width="11.42578125" style="5"/>
    <col min="252" max="252" width="24.5703125" style="5" customWidth="1"/>
    <col min="253" max="253" width="7.5703125" style="5" customWidth="1"/>
    <col min="254" max="254" width="20.42578125" style="5" customWidth="1"/>
    <col min="255" max="255" width="2.5703125" style="5" customWidth="1"/>
    <col min="256" max="256" width="18.42578125" style="5" customWidth="1"/>
    <col min="257" max="257" width="10.7109375" style="5" bestFit="1" customWidth="1"/>
    <col min="258" max="258" width="4.140625" style="5" customWidth="1"/>
    <col min="259" max="259" width="18.28515625" style="5" customWidth="1"/>
    <col min="260" max="260" width="3" style="5" customWidth="1"/>
    <col min="261" max="507" width="11.42578125" style="5"/>
    <col min="508" max="508" width="24.5703125" style="5" customWidth="1"/>
    <col min="509" max="509" width="7.5703125" style="5" customWidth="1"/>
    <col min="510" max="510" width="20.42578125" style="5" customWidth="1"/>
    <col min="511" max="511" width="2.5703125" style="5" customWidth="1"/>
    <col min="512" max="512" width="18.42578125" style="5" customWidth="1"/>
    <col min="513" max="513" width="10.7109375" style="5" bestFit="1" customWidth="1"/>
    <col min="514" max="514" width="4.140625" style="5" customWidth="1"/>
    <col min="515" max="515" width="18.28515625" style="5" customWidth="1"/>
    <col min="516" max="516" width="3" style="5" customWidth="1"/>
    <col min="517" max="763" width="11.42578125" style="5"/>
    <col min="764" max="764" width="24.5703125" style="5" customWidth="1"/>
    <col min="765" max="765" width="7.5703125" style="5" customWidth="1"/>
    <col min="766" max="766" width="20.42578125" style="5" customWidth="1"/>
    <col min="767" max="767" width="2.5703125" style="5" customWidth="1"/>
    <col min="768" max="768" width="18.42578125" style="5" customWidth="1"/>
    <col min="769" max="769" width="10.7109375" style="5" bestFit="1" customWidth="1"/>
    <col min="770" max="770" width="4.140625" style="5" customWidth="1"/>
    <col min="771" max="771" width="18.28515625" style="5" customWidth="1"/>
    <col min="772" max="772" width="3" style="5" customWidth="1"/>
    <col min="773" max="1019" width="11.42578125" style="5"/>
    <col min="1020" max="1020" width="24.5703125" style="5" customWidth="1"/>
    <col min="1021" max="1021" width="7.5703125" style="5" customWidth="1"/>
    <col min="1022" max="1022" width="20.42578125" style="5" customWidth="1"/>
    <col min="1023" max="1023" width="2.5703125" style="5" customWidth="1"/>
    <col min="1024" max="1024" width="18.42578125" style="5" customWidth="1"/>
    <col min="1025" max="1025" width="10.7109375" style="5" bestFit="1" customWidth="1"/>
    <col min="1026" max="1026" width="4.140625" style="5" customWidth="1"/>
    <col min="1027" max="1027" width="18.28515625" style="5" customWidth="1"/>
    <col min="1028" max="1028" width="3" style="5" customWidth="1"/>
    <col min="1029" max="1275" width="11.42578125" style="5"/>
    <col min="1276" max="1276" width="24.5703125" style="5" customWidth="1"/>
    <col min="1277" max="1277" width="7.5703125" style="5" customWidth="1"/>
    <col min="1278" max="1278" width="20.42578125" style="5" customWidth="1"/>
    <col min="1279" max="1279" width="2.5703125" style="5" customWidth="1"/>
    <col min="1280" max="1280" width="18.42578125" style="5" customWidth="1"/>
    <col min="1281" max="1281" width="10.7109375" style="5" bestFit="1" customWidth="1"/>
    <col min="1282" max="1282" width="4.140625" style="5" customWidth="1"/>
    <col min="1283" max="1283" width="18.28515625" style="5" customWidth="1"/>
    <col min="1284" max="1284" width="3" style="5" customWidth="1"/>
    <col min="1285" max="1531" width="11.42578125" style="5"/>
    <col min="1532" max="1532" width="24.5703125" style="5" customWidth="1"/>
    <col min="1533" max="1533" width="7.5703125" style="5" customWidth="1"/>
    <col min="1534" max="1534" width="20.42578125" style="5" customWidth="1"/>
    <col min="1535" max="1535" width="2.5703125" style="5" customWidth="1"/>
    <col min="1536" max="1536" width="18.42578125" style="5" customWidth="1"/>
    <col min="1537" max="1537" width="10.7109375" style="5" bestFit="1" customWidth="1"/>
    <col min="1538" max="1538" width="4.140625" style="5" customWidth="1"/>
    <col min="1539" max="1539" width="18.28515625" style="5" customWidth="1"/>
    <col min="1540" max="1540" width="3" style="5" customWidth="1"/>
    <col min="1541" max="1787" width="11.42578125" style="5"/>
    <col min="1788" max="1788" width="24.5703125" style="5" customWidth="1"/>
    <col min="1789" max="1789" width="7.5703125" style="5" customWidth="1"/>
    <col min="1790" max="1790" width="20.42578125" style="5" customWidth="1"/>
    <col min="1791" max="1791" width="2.5703125" style="5" customWidth="1"/>
    <col min="1792" max="1792" width="18.42578125" style="5" customWidth="1"/>
    <col min="1793" max="1793" width="10.7109375" style="5" bestFit="1" customWidth="1"/>
    <col min="1794" max="1794" width="4.140625" style="5" customWidth="1"/>
    <col min="1795" max="1795" width="18.28515625" style="5" customWidth="1"/>
    <col min="1796" max="1796" width="3" style="5" customWidth="1"/>
    <col min="1797" max="2043" width="11.42578125" style="5"/>
    <col min="2044" max="2044" width="24.5703125" style="5" customWidth="1"/>
    <col min="2045" max="2045" width="7.5703125" style="5" customWidth="1"/>
    <col min="2046" max="2046" width="20.42578125" style="5" customWidth="1"/>
    <col min="2047" max="2047" width="2.5703125" style="5" customWidth="1"/>
    <col min="2048" max="2048" width="18.42578125" style="5" customWidth="1"/>
    <col min="2049" max="2049" width="10.7109375" style="5" bestFit="1" customWidth="1"/>
    <col min="2050" max="2050" width="4.140625" style="5" customWidth="1"/>
    <col min="2051" max="2051" width="18.28515625" style="5" customWidth="1"/>
    <col min="2052" max="2052" width="3" style="5" customWidth="1"/>
    <col min="2053" max="2299" width="11.42578125" style="5"/>
    <col min="2300" max="2300" width="24.5703125" style="5" customWidth="1"/>
    <col min="2301" max="2301" width="7.5703125" style="5" customWidth="1"/>
    <col min="2302" max="2302" width="20.42578125" style="5" customWidth="1"/>
    <col min="2303" max="2303" width="2.5703125" style="5" customWidth="1"/>
    <col min="2304" max="2304" width="18.42578125" style="5" customWidth="1"/>
    <col min="2305" max="2305" width="10.7109375" style="5" bestFit="1" customWidth="1"/>
    <col min="2306" max="2306" width="4.140625" style="5" customWidth="1"/>
    <col min="2307" max="2307" width="18.28515625" style="5" customWidth="1"/>
    <col min="2308" max="2308" width="3" style="5" customWidth="1"/>
    <col min="2309" max="2555" width="11.42578125" style="5"/>
    <col min="2556" max="2556" width="24.5703125" style="5" customWidth="1"/>
    <col min="2557" max="2557" width="7.5703125" style="5" customWidth="1"/>
    <col min="2558" max="2558" width="20.42578125" style="5" customWidth="1"/>
    <col min="2559" max="2559" width="2.5703125" style="5" customWidth="1"/>
    <col min="2560" max="2560" width="18.42578125" style="5" customWidth="1"/>
    <col min="2561" max="2561" width="10.7109375" style="5" bestFit="1" customWidth="1"/>
    <col min="2562" max="2562" width="4.140625" style="5" customWidth="1"/>
    <col min="2563" max="2563" width="18.28515625" style="5" customWidth="1"/>
    <col min="2564" max="2564" width="3" style="5" customWidth="1"/>
    <col min="2565" max="2811" width="11.42578125" style="5"/>
    <col min="2812" max="2812" width="24.5703125" style="5" customWidth="1"/>
    <col min="2813" max="2813" width="7.5703125" style="5" customWidth="1"/>
    <col min="2814" max="2814" width="20.42578125" style="5" customWidth="1"/>
    <col min="2815" max="2815" width="2.5703125" style="5" customWidth="1"/>
    <col min="2816" max="2816" width="18.42578125" style="5" customWidth="1"/>
    <col min="2817" max="2817" width="10.7109375" style="5" bestFit="1" customWidth="1"/>
    <col min="2818" max="2818" width="4.140625" style="5" customWidth="1"/>
    <col min="2819" max="2819" width="18.28515625" style="5" customWidth="1"/>
    <col min="2820" max="2820" width="3" style="5" customWidth="1"/>
    <col min="2821" max="3067" width="11.42578125" style="5"/>
    <col min="3068" max="3068" width="24.5703125" style="5" customWidth="1"/>
    <col min="3069" max="3069" width="7.5703125" style="5" customWidth="1"/>
    <col min="3070" max="3070" width="20.42578125" style="5" customWidth="1"/>
    <col min="3071" max="3071" width="2.5703125" style="5" customWidth="1"/>
    <col min="3072" max="3072" width="18.42578125" style="5" customWidth="1"/>
    <col min="3073" max="3073" width="10.7109375" style="5" bestFit="1" customWidth="1"/>
    <col min="3074" max="3074" width="4.140625" style="5" customWidth="1"/>
    <col min="3075" max="3075" width="18.28515625" style="5" customWidth="1"/>
    <col min="3076" max="3076" width="3" style="5" customWidth="1"/>
    <col min="3077" max="3323" width="11.42578125" style="5"/>
    <col min="3324" max="3324" width="24.5703125" style="5" customWidth="1"/>
    <col min="3325" max="3325" width="7.5703125" style="5" customWidth="1"/>
    <col min="3326" max="3326" width="20.42578125" style="5" customWidth="1"/>
    <col min="3327" max="3327" width="2.5703125" style="5" customWidth="1"/>
    <col min="3328" max="3328" width="18.42578125" style="5" customWidth="1"/>
    <col min="3329" max="3329" width="10.7109375" style="5" bestFit="1" customWidth="1"/>
    <col min="3330" max="3330" width="4.140625" style="5" customWidth="1"/>
    <col min="3331" max="3331" width="18.28515625" style="5" customWidth="1"/>
    <col min="3332" max="3332" width="3" style="5" customWidth="1"/>
    <col min="3333" max="3579" width="11.42578125" style="5"/>
    <col min="3580" max="3580" width="24.5703125" style="5" customWidth="1"/>
    <col min="3581" max="3581" width="7.5703125" style="5" customWidth="1"/>
    <col min="3582" max="3582" width="20.42578125" style="5" customWidth="1"/>
    <col min="3583" max="3583" width="2.5703125" style="5" customWidth="1"/>
    <col min="3584" max="3584" width="18.42578125" style="5" customWidth="1"/>
    <col min="3585" max="3585" width="10.7109375" style="5" bestFit="1" customWidth="1"/>
    <col min="3586" max="3586" width="4.140625" style="5" customWidth="1"/>
    <col min="3587" max="3587" width="18.28515625" style="5" customWidth="1"/>
    <col min="3588" max="3588" width="3" style="5" customWidth="1"/>
    <col min="3589" max="3835" width="11.42578125" style="5"/>
    <col min="3836" max="3836" width="24.5703125" style="5" customWidth="1"/>
    <col min="3837" max="3837" width="7.5703125" style="5" customWidth="1"/>
    <col min="3838" max="3838" width="20.42578125" style="5" customWidth="1"/>
    <col min="3839" max="3839" width="2.5703125" style="5" customWidth="1"/>
    <col min="3840" max="3840" width="18.42578125" style="5" customWidth="1"/>
    <col min="3841" max="3841" width="10.7109375" style="5" bestFit="1" customWidth="1"/>
    <col min="3842" max="3842" width="4.140625" style="5" customWidth="1"/>
    <col min="3843" max="3843" width="18.28515625" style="5" customWidth="1"/>
    <col min="3844" max="3844" width="3" style="5" customWidth="1"/>
    <col min="3845" max="4091" width="11.42578125" style="5"/>
    <col min="4092" max="4092" width="24.5703125" style="5" customWidth="1"/>
    <col min="4093" max="4093" width="7.5703125" style="5" customWidth="1"/>
    <col min="4094" max="4094" width="20.42578125" style="5" customWidth="1"/>
    <col min="4095" max="4095" width="2.5703125" style="5" customWidth="1"/>
    <col min="4096" max="4096" width="18.42578125" style="5" customWidth="1"/>
    <col min="4097" max="4097" width="10.7109375" style="5" bestFit="1" customWidth="1"/>
    <col min="4098" max="4098" width="4.140625" style="5" customWidth="1"/>
    <col min="4099" max="4099" width="18.28515625" style="5" customWidth="1"/>
    <col min="4100" max="4100" width="3" style="5" customWidth="1"/>
    <col min="4101" max="4347" width="11.42578125" style="5"/>
    <col min="4348" max="4348" width="24.5703125" style="5" customWidth="1"/>
    <col min="4349" max="4349" width="7.5703125" style="5" customWidth="1"/>
    <col min="4350" max="4350" width="20.42578125" style="5" customWidth="1"/>
    <col min="4351" max="4351" width="2.5703125" style="5" customWidth="1"/>
    <col min="4352" max="4352" width="18.42578125" style="5" customWidth="1"/>
    <col min="4353" max="4353" width="10.7109375" style="5" bestFit="1" customWidth="1"/>
    <col min="4354" max="4354" width="4.140625" style="5" customWidth="1"/>
    <col min="4355" max="4355" width="18.28515625" style="5" customWidth="1"/>
    <col min="4356" max="4356" width="3" style="5" customWidth="1"/>
    <col min="4357" max="4603" width="11.42578125" style="5"/>
    <col min="4604" max="4604" width="24.5703125" style="5" customWidth="1"/>
    <col min="4605" max="4605" width="7.5703125" style="5" customWidth="1"/>
    <col min="4606" max="4606" width="20.42578125" style="5" customWidth="1"/>
    <col min="4607" max="4607" width="2.5703125" style="5" customWidth="1"/>
    <col min="4608" max="4608" width="18.42578125" style="5" customWidth="1"/>
    <col min="4609" max="4609" width="10.7109375" style="5" bestFit="1" customWidth="1"/>
    <col min="4610" max="4610" width="4.140625" style="5" customWidth="1"/>
    <col min="4611" max="4611" width="18.28515625" style="5" customWidth="1"/>
    <col min="4612" max="4612" width="3" style="5" customWidth="1"/>
    <col min="4613" max="4859" width="11.42578125" style="5"/>
    <col min="4860" max="4860" width="24.5703125" style="5" customWidth="1"/>
    <col min="4861" max="4861" width="7.5703125" style="5" customWidth="1"/>
    <col min="4862" max="4862" width="20.42578125" style="5" customWidth="1"/>
    <col min="4863" max="4863" width="2.5703125" style="5" customWidth="1"/>
    <col min="4864" max="4864" width="18.42578125" style="5" customWidth="1"/>
    <col min="4865" max="4865" width="10.7109375" style="5" bestFit="1" customWidth="1"/>
    <col min="4866" max="4866" width="4.140625" style="5" customWidth="1"/>
    <col min="4867" max="4867" width="18.28515625" style="5" customWidth="1"/>
    <col min="4868" max="4868" width="3" style="5" customWidth="1"/>
    <col min="4869" max="5115" width="11.42578125" style="5"/>
    <col min="5116" max="5116" width="24.5703125" style="5" customWidth="1"/>
    <col min="5117" max="5117" width="7.5703125" style="5" customWidth="1"/>
    <col min="5118" max="5118" width="20.42578125" style="5" customWidth="1"/>
    <col min="5119" max="5119" width="2.5703125" style="5" customWidth="1"/>
    <col min="5120" max="5120" width="18.42578125" style="5" customWidth="1"/>
    <col min="5121" max="5121" width="10.7109375" style="5" bestFit="1" customWidth="1"/>
    <col min="5122" max="5122" width="4.140625" style="5" customWidth="1"/>
    <col min="5123" max="5123" width="18.28515625" style="5" customWidth="1"/>
    <col min="5124" max="5124" width="3" style="5" customWidth="1"/>
    <col min="5125" max="5371" width="11.42578125" style="5"/>
    <col min="5372" max="5372" width="24.5703125" style="5" customWidth="1"/>
    <col min="5373" max="5373" width="7.5703125" style="5" customWidth="1"/>
    <col min="5374" max="5374" width="20.42578125" style="5" customWidth="1"/>
    <col min="5375" max="5375" width="2.5703125" style="5" customWidth="1"/>
    <col min="5376" max="5376" width="18.42578125" style="5" customWidth="1"/>
    <col min="5377" max="5377" width="10.7109375" style="5" bestFit="1" customWidth="1"/>
    <col min="5378" max="5378" width="4.140625" style="5" customWidth="1"/>
    <col min="5379" max="5379" width="18.28515625" style="5" customWidth="1"/>
    <col min="5380" max="5380" width="3" style="5" customWidth="1"/>
    <col min="5381" max="5627" width="11.42578125" style="5"/>
    <col min="5628" max="5628" width="24.5703125" style="5" customWidth="1"/>
    <col min="5629" max="5629" width="7.5703125" style="5" customWidth="1"/>
    <col min="5630" max="5630" width="20.42578125" style="5" customWidth="1"/>
    <col min="5631" max="5631" width="2.5703125" style="5" customWidth="1"/>
    <col min="5632" max="5632" width="18.42578125" style="5" customWidth="1"/>
    <col min="5633" max="5633" width="10.7109375" style="5" bestFit="1" customWidth="1"/>
    <col min="5634" max="5634" width="4.140625" style="5" customWidth="1"/>
    <col min="5635" max="5635" width="18.28515625" style="5" customWidth="1"/>
    <col min="5636" max="5636" width="3" style="5" customWidth="1"/>
    <col min="5637" max="5883" width="11.42578125" style="5"/>
    <col min="5884" max="5884" width="24.5703125" style="5" customWidth="1"/>
    <col min="5885" max="5885" width="7.5703125" style="5" customWidth="1"/>
    <col min="5886" max="5886" width="20.42578125" style="5" customWidth="1"/>
    <col min="5887" max="5887" width="2.5703125" style="5" customWidth="1"/>
    <col min="5888" max="5888" width="18.42578125" style="5" customWidth="1"/>
    <col min="5889" max="5889" width="10.7109375" style="5" bestFit="1" customWidth="1"/>
    <col min="5890" max="5890" width="4.140625" style="5" customWidth="1"/>
    <col min="5891" max="5891" width="18.28515625" style="5" customWidth="1"/>
    <col min="5892" max="5892" width="3" style="5" customWidth="1"/>
    <col min="5893" max="6139" width="11.42578125" style="5"/>
    <col min="6140" max="6140" width="24.5703125" style="5" customWidth="1"/>
    <col min="6141" max="6141" width="7.5703125" style="5" customWidth="1"/>
    <col min="6142" max="6142" width="20.42578125" style="5" customWidth="1"/>
    <col min="6143" max="6143" width="2.5703125" style="5" customWidth="1"/>
    <col min="6144" max="6144" width="18.42578125" style="5" customWidth="1"/>
    <col min="6145" max="6145" width="10.7109375" style="5" bestFit="1" customWidth="1"/>
    <col min="6146" max="6146" width="4.140625" style="5" customWidth="1"/>
    <col min="6147" max="6147" width="18.28515625" style="5" customWidth="1"/>
    <col min="6148" max="6148" width="3" style="5" customWidth="1"/>
    <col min="6149" max="6395" width="11.42578125" style="5"/>
    <col min="6396" max="6396" width="24.5703125" style="5" customWidth="1"/>
    <col min="6397" max="6397" width="7.5703125" style="5" customWidth="1"/>
    <col min="6398" max="6398" width="20.42578125" style="5" customWidth="1"/>
    <col min="6399" max="6399" width="2.5703125" style="5" customWidth="1"/>
    <col min="6400" max="6400" width="18.42578125" style="5" customWidth="1"/>
    <col min="6401" max="6401" width="10.7109375" style="5" bestFit="1" customWidth="1"/>
    <col min="6402" max="6402" width="4.140625" style="5" customWidth="1"/>
    <col min="6403" max="6403" width="18.28515625" style="5" customWidth="1"/>
    <col min="6404" max="6404" width="3" style="5" customWidth="1"/>
    <col min="6405" max="6651" width="11.42578125" style="5"/>
    <col min="6652" max="6652" width="24.5703125" style="5" customWidth="1"/>
    <col min="6653" max="6653" width="7.5703125" style="5" customWidth="1"/>
    <col min="6654" max="6654" width="20.42578125" style="5" customWidth="1"/>
    <col min="6655" max="6655" width="2.5703125" style="5" customWidth="1"/>
    <col min="6656" max="6656" width="18.42578125" style="5" customWidth="1"/>
    <col min="6657" max="6657" width="10.7109375" style="5" bestFit="1" customWidth="1"/>
    <col min="6658" max="6658" width="4.140625" style="5" customWidth="1"/>
    <col min="6659" max="6659" width="18.28515625" style="5" customWidth="1"/>
    <col min="6660" max="6660" width="3" style="5" customWidth="1"/>
    <col min="6661" max="6907" width="11.42578125" style="5"/>
    <col min="6908" max="6908" width="24.5703125" style="5" customWidth="1"/>
    <col min="6909" max="6909" width="7.5703125" style="5" customWidth="1"/>
    <col min="6910" max="6910" width="20.42578125" style="5" customWidth="1"/>
    <col min="6911" max="6911" width="2.5703125" style="5" customWidth="1"/>
    <col min="6912" max="6912" width="18.42578125" style="5" customWidth="1"/>
    <col min="6913" max="6913" width="10.7109375" style="5" bestFit="1" customWidth="1"/>
    <col min="6914" max="6914" width="4.140625" style="5" customWidth="1"/>
    <col min="6915" max="6915" width="18.28515625" style="5" customWidth="1"/>
    <col min="6916" max="6916" width="3" style="5" customWidth="1"/>
    <col min="6917" max="7163" width="11.42578125" style="5"/>
    <col min="7164" max="7164" width="24.5703125" style="5" customWidth="1"/>
    <col min="7165" max="7165" width="7.5703125" style="5" customWidth="1"/>
    <col min="7166" max="7166" width="20.42578125" style="5" customWidth="1"/>
    <col min="7167" max="7167" width="2.5703125" style="5" customWidth="1"/>
    <col min="7168" max="7168" width="18.42578125" style="5" customWidth="1"/>
    <col min="7169" max="7169" width="10.7109375" style="5" bestFit="1" customWidth="1"/>
    <col min="7170" max="7170" width="4.140625" style="5" customWidth="1"/>
    <col min="7171" max="7171" width="18.28515625" style="5" customWidth="1"/>
    <col min="7172" max="7172" width="3" style="5" customWidth="1"/>
    <col min="7173" max="7419" width="11.42578125" style="5"/>
    <col min="7420" max="7420" width="24.5703125" style="5" customWidth="1"/>
    <col min="7421" max="7421" width="7.5703125" style="5" customWidth="1"/>
    <col min="7422" max="7422" width="20.42578125" style="5" customWidth="1"/>
    <col min="7423" max="7423" width="2.5703125" style="5" customWidth="1"/>
    <col min="7424" max="7424" width="18.42578125" style="5" customWidth="1"/>
    <col min="7425" max="7425" width="10.7109375" style="5" bestFit="1" customWidth="1"/>
    <col min="7426" max="7426" width="4.140625" style="5" customWidth="1"/>
    <col min="7427" max="7427" width="18.28515625" style="5" customWidth="1"/>
    <col min="7428" max="7428" width="3" style="5" customWidth="1"/>
    <col min="7429" max="7675" width="11.42578125" style="5"/>
    <col min="7676" max="7676" width="24.5703125" style="5" customWidth="1"/>
    <col min="7677" max="7677" width="7.5703125" style="5" customWidth="1"/>
    <col min="7678" max="7678" width="20.42578125" style="5" customWidth="1"/>
    <col min="7679" max="7679" width="2.5703125" style="5" customWidth="1"/>
    <col min="7680" max="7680" width="18.42578125" style="5" customWidth="1"/>
    <col min="7681" max="7681" width="10.7109375" style="5" bestFit="1" customWidth="1"/>
    <col min="7682" max="7682" width="4.140625" style="5" customWidth="1"/>
    <col min="7683" max="7683" width="18.28515625" style="5" customWidth="1"/>
    <col min="7684" max="7684" width="3" style="5" customWidth="1"/>
    <col min="7685" max="7931" width="11.42578125" style="5"/>
    <col min="7932" max="7932" width="24.5703125" style="5" customWidth="1"/>
    <col min="7933" max="7933" width="7.5703125" style="5" customWidth="1"/>
    <col min="7934" max="7934" width="20.42578125" style="5" customWidth="1"/>
    <col min="7935" max="7935" width="2.5703125" style="5" customWidth="1"/>
    <col min="7936" max="7936" width="18.42578125" style="5" customWidth="1"/>
    <col min="7937" max="7937" width="10.7109375" style="5" bestFit="1" customWidth="1"/>
    <col min="7938" max="7938" width="4.140625" style="5" customWidth="1"/>
    <col min="7939" max="7939" width="18.28515625" style="5" customWidth="1"/>
    <col min="7940" max="7940" width="3" style="5" customWidth="1"/>
    <col min="7941" max="8187" width="11.42578125" style="5"/>
    <col min="8188" max="8188" width="24.5703125" style="5" customWidth="1"/>
    <col min="8189" max="8189" width="7.5703125" style="5" customWidth="1"/>
    <col min="8190" max="8190" width="20.42578125" style="5" customWidth="1"/>
    <col min="8191" max="8191" width="2.5703125" style="5" customWidth="1"/>
    <col min="8192" max="8192" width="18.42578125" style="5" customWidth="1"/>
    <col min="8193" max="8193" width="10.7109375" style="5" bestFit="1" customWidth="1"/>
    <col min="8194" max="8194" width="4.140625" style="5" customWidth="1"/>
    <col min="8195" max="8195" width="18.28515625" style="5" customWidth="1"/>
    <col min="8196" max="8196" width="3" style="5" customWidth="1"/>
    <col min="8197" max="8443" width="11.42578125" style="5"/>
    <col min="8444" max="8444" width="24.5703125" style="5" customWidth="1"/>
    <col min="8445" max="8445" width="7.5703125" style="5" customWidth="1"/>
    <col min="8446" max="8446" width="20.42578125" style="5" customWidth="1"/>
    <col min="8447" max="8447" width="2.5703125" style="5" customWidth="1"/>
    <col min="8448" max="8448" width="18.42578125" style="5" customWidth="1"/>
    <col min="8449" max="8449" width="10.7109375" style="5" bestFit="1" customWidth="1"/>
    <col min="8450" max="8450" width="4.140625" style="5" customWidth="1"/>
    <col min="8451" max="8451" width="18.28515625" style="5" customWidth="1"/>
    <col min="8452" max="8452" width="3" style="5" customWidth="1"/>
    <col min="8453" max="8699" width="11.42578125" style="5"/>
    <col min="8700" max="8700" width="24.5703125" style="5" customWidth="1"/>
    <col min="8701" max="8701" width="7.5703125" style="5" customWidth="1"/>
    <col min="8702" max="8702" width="20.42578125" style="5" customWidth="1"/>
    <col min="8703" max="8703" width="2.5703125" style="5" customWidth="1"/>
    <col min="8704" max="8704" width="18.42578125" style="5" customWidth="1"/>
    <col min="8705" max="8705" width="10.7109375" style="5" bestFit="1" customWidth="1"/>
    <col min="8706" max="8706" width="4.140625" style="5" customWidth="1"/>
    <col min="8707" max="8707" width="18.28515625" style="5" customWidth="1"/>
    <col min="8708" max="8708" width="3" style="5" customWidth="1"/>
    <col min="8709" max="8955" width="11.42578125" style="5"/>
    <col min="8956" max="8956" width="24.5703125" style="5" customWidth="1"/>
    <col min="8957" max="8957" width="7.5703125" style="5" customWidth="1"/>
    <col min="8958" max="8958" width="20.42578125" style="5" customWidth="1"/>
    <col min="8959" max="8959" width="2.5703125" style="5" customWidth="1"/>
    <col min="8960" max="8960" width="18.42578125" style="5" customWidth="1"/>
    <col min="8961" max="8961" width="10.7109375" style="5" bestFit="1" customWidth="1"/>
    <col min="8962" max="8962" width="4.140625" style="5" customWidth="1"/>
    <col min="8963" max="8963" width="18.28515625" style="5" customWidth="1"/>
    <col min="8964" max="8964" width="3" style="5" customWidth="1"/>
    <col min="8965" max="9211" width="11.42578125" style="5"/>
    <col min="9212" max="9212" width="24.5703125" style="5" customWidth="1"/>
    <col min="9213" max="9213" width="7.5703125" style="5" customWidth="1"/>
    <col min="9214" max="9214" width="20.42578125" style="5" customWidth="1"/>
    <col min="9215" max="9215" width="2.5703125" style="5" customWidth="1"/>
    <col min="9216" max="9216" width="18.42578125" style="5" customWidth="1"/>
    <col min="9217" max="9217" width="10.7109375" style="5" bestFit="1" customWidth="1"/>
    <col min="9218" max="9218" width="4.140625" style="5" customWidth="1"/>
    <col min="9219" max="9219" width="18.28515625" style="5" customWidth="1"/>
    <col min="9220" max="9220" width="3" style="5" customWidth="1"/>
    <col min="9221" max="9467" width="11.42578125" style="5"/>
    <col min="9468" max="9468" width="24.5703125" style="5" customWidth="1"/>
    <col min="9469" max="9469" width="7.5703125" style="5" customWidth="1"/>
    <col min="9470" max="9470" width="20.42578125" style="5" customWidth="1"/>
    <col min="9471" max="9471" width="2.5703125" style="5" customWidth="1"/>
    <col min="9472" max="9472" width="18.42578125" style="5" customWidth="1"/>
    <col min="9473" max="9473" width="10.7109375" style="5" bestFit="1" customWidth="1"/>
    <col min="9474" max="9474" width="4.140625" style="5" customWidth="1"/>
    <col min="9475" max="9475" width="18.28515625" style="5" customWidth="1"/>
    <col min="9476" max="9476" width="3" style="5" customWidth="1"/>
    <col min="9477" max="9723" width="11.42578125" style="5"/>
    <col min="9724" max="9724" width="24.5703125" style="5" customWidth="1"/>
    <col min="9725" max="9725" width="7.5703125" style="5" customWidth="1"/>
    <col min="9726" max="9726" width="20.42578125" style="5" customWidth="1"/>
    <col min="9727" max="9727" width="2.5703125" style="5" customWidth="1"/>
    <col min="9728" max="9728" width="18.42578125" style="5" customWidth="1"/>
    <col min="9729" max="9729" width="10.7109375" style="5" bestFit="1" customWidth="1"/>
    <col min="9730" max="9730" width="4.140625" style="5" customWidth="1"/>
    <col min="9731" max="9731" width="18.28515625" style="5" customWidth="1"/>
    <col min="9732" max="9732" width="3" style="5" customWidth="1"/>
    <col min="9733" max="9979" width="11.42578125" style="5"/>
    <col min="9980" max="9980" width="24.5703125" style="5" customWidth="1"/>
    <col min="9981" max="9981" width="7.5703125" style="5" customWidth="1"/>
    <col min="9982" max="9982" width="20.42578125" style="5" customWidth="1"/>
    <col min="9983" max="9983" width="2.5703125" style="5" customWidth="1"/>
    <col min="9984" max="9984" width="18.42578125" style="5" customWidth="1"/>
    <col min="9985" max="9985" width="10.7109375" style="5" bestFit="1" customWidth="1"/>
    <col min="9986" max="9986" width="4.140625" style="5" customWidth="1"/>
    <col min="9987" max="9987" width="18.28515625" style="5" customWidth="1"/>
    <col min="9988" max="9988" width="3" style="5" customWidth="1"/>
    <col min="9989" max="10235" width="11.42578125" style="5"/>
    <col min="10236" max="10236" width="24.5703125" style="5" customWidth="1"/>
    <col min="10237" max="10237" width="7.5703125" style="5" customWidth="1"/>
    <col min="10238" max="10238" width="20.42578125" style="5" customWidth="1"/>
    <col min="10239" max="10239" width="2.5703125" style="5" customWidth="1"/>
    <col min="10240" max="10240" width="18.42578125" style="5" customWidth="1"/>
    <col min="10241" max="10241" width="10.7109375" style="5" bestFit="1" customWidth="1"/>
    <col min="10242" max="10242" width="4.140625" style="5" customWidth="1"/>
    <col min="10243" max="10243" width="18.28515625" style="5" customWidth="1"/>
    <col min="10244" max="10244" width="3" style="5" customWidth="1"/>
    <col min="10245" max="10491" width="11.42578125" style="5"/>
    <col min="10492" max="10492" width="24.5703125" style="5" customWidth="1"/>
    <col min="10493" max="10493" width="7.5703125" style="5" customWidth="1"/>
    <col min="10494" max="10494" width="20.42578125" style="5" customWidth="1"/>
    <col min="10495" max="10495" width="2.5703125" style="5" customWidth="1"/>
    <col min="10496" max="10496" width="18.42578125" style="5" customWidth="1"/>
    <col min="10497" max="10497" width="10.7109375" style="5" bestFit="1" customWidth="1"/>
    <col min="10498" max="10498" width="4.140625" style="5" customWidth="1"/>
    <col min="10499" max="10499" width="18.28515625" style="5" customWidth="1"/>
    <col min="10500" max="10500" width="3" style="5" customWidth="1"/>
    <col min="10501" max="10747" width="11.42578125" style="5"/>
    <col min="10748" max="10748" width="24.5703125" style="5" customWidth="1"/>
    <col min="10749" max="10749" width="7.5703125" style="5" customWidth="1"/>
    <col min="10750" max="10750" width="20.42578125" style="5" customWidth="1"/>
    <col min="10751" max="10751" width="2.5703125" style="5" customWidth="1"/>
    <col min="10752" max="10752" width="18.42578125" style="5" customWidth="1"/>
    <col min="10753" max="10753" width="10.7109375" style="5" bestFit="1" customWidth="1"/>
    <col min="10754" max="10754" width="4.140625" style="5" customWidth="1"/>
    <col min="10755" max="10755" width="18.28515625" style="5" customWidth="1"/>
    <col min="10756" max="10756" width="3" style="5" customWidth="1"/>
    <col min="10757" max="11003" width="11.42578125" style="5"/>
    <col min="11004" max="11004" width="24.5703125" style="5" customWidth="1"/>
    <col min="11005" max="11005" width="7.5703125" style="5" customWidth="1"/>
    <col min="11006" max="11006" width="20.42578125" style="5" customWidth="1"/>
    <col min="11007" max="11007" width="2.5703125" style="5" customWidth="1"/>
    <col min="11008" max="11008" width="18.42578125" style="5" customWidth="1"/>
    <col min="11009" max="11009" width="10.7109375" style="5" bestFit="1" customWidth="1"/>
    <col min="11010" max="11010" width="4.140625" style="5" customWidth="1"/>
    <col min="11011" max="11011" width="18.28515625" style="5" customWidth="1"/>
    <col min="11012" max="11012" width="3" style="5" customWidth="1"/>
    <col min="11013" max="11259" width="11.42578125" style="5"/>
    <col min="11260" max="11260" width="24.5703125" style="5" customWidth="1"/>
    <col min="11261" max="11261" width="7.5703125" style="5" customWidth="1"/>
    <col min="11262" max="11262" width="20.42578125" style="5" customWidth="1"/>
    <col min="11263" max="11263" width="2.5703125" style="5" customWidth="1"/>
    <col min="11264" max="11264" width="18.42578125" style="5" customWidth="1"/>
    <col min="11265" max="11265" width="10.7109375" style="5" bestFit="1" customWidth="1"/>
    <col min="11266" max="11266" width="4.140625" style="5" customWidth="1"/>
    <col min="11267" max="11267" width="18.28515625" style="5" customWidth="1"/>
    <col min="11268" max="11268" width="3" style="5" customWidth="1"/>
    <col min="11269" max="11515" width="11.42578125" style="5"/>
    <col min="11516" max="11516" width="24.5703125" style="5" customWidth="1"/>
    <col min="11517" max="11517" width="7.5703125" style="5" customWidth="1"/>
    <col min="11518" max="11518" width="20.42578125" style="5" customWidth="1"/>
    <col min="11519" max="11519" width="2.5703125" style="5" customWidth="1"/>
    <col min="11520" max="11520" width="18.42578125" style="5" customWidth="1"/>
    <col min="11521" max="11521" width="10.7109375" style="5" bestFit="1" customWidth="1"/>
    <col min="11522" max="11522" width="4.140625" style="5" customWidth="1"/>
    <col min="11523" max="11523" width="18.28515625" style="5" customWidth="1"/>
    <col min="11524" max="11524" width="3" style="5" customWidth="1"/>
    <col min="11525" max="11771" width="11.42578125" style="5"/>
    <col min="11772" max="11772" width="24.5703125" style="5" customWidth="1"/>
    <col min="11773" max="11773" width="7.5703125" style="5" customWidth="1"/>
    <col min="11774" max="11774" width="20.42578125" style="5" customWidth="1"/>
    <col min="11775" max="11775" width="2.5703125" style="5" customWidth="1"/>
    <col min="11776" max="11776" width="18.42578125" style="5" customWidth="1"/>
    <col min="11777" max="11777" width="10.7109375" style="5" bestFit="1" customWidth="1"/>
    <col min="11778" max="11778" width="4.140625" style="5" customWidth="1"/>
    <col min="11779" max="11779" width="18.28515625" style="5" customWidth="1"/>
    <col min="11780" max="11780" width="3" style="5" customWidth="1"/>
    <col min="11781" max="12027" width="11.42578125" style="5"/>
    <col min="12028" max="12028" width="24.5703125" style="5" customWidth="1"/>
    <col min="12029" max="12029" width="7.5703125" style="5" customWidth="1"/>
    <col min="12030" max="12030" width="20.42578125" style="5" customWidth="1"/>
    <col min="12031" max="12031" width="2.5703125" style="5" customWidth="1"/>
    <col min="12032" max="12032" width="18.42578125" style="5" customWidth="1"/>
    <col min="12033" max="12033" width="10.7109375" style="5" bestFit="1" customWidth="1"/>
    <col min="12034" max="12034" width="4.140625" style="5" customWidth="1"/>
    <col min="12035" max="12035" width="18.28515625" style="5" customWidth="1"/>
    <col min="12036" max="12036" width="3" style="5" customWidth="1"/>
    <col min="12037" max="12283" width="11.42578125" style="5"/>
    <col min="12284" max="12284" width="24.5703125" style="5" customWidth="1"/>
    <col min="12285" max="12285" width="7.5703125" style="5" customWidth="1"/>
    <col min="12286" max="12286" width="20.42578125" style="5" customWidth="1"/>
    <col min="12287" max="12287" width="2.5703125" style="5" customWidth="1"/>
    <col min="12288" max="12288" width="18.42578125" style="5" customWidth="1"/>
    <col min="12289" max="12289" width="10.7109375" style="5" bestFit="1" customWidth="1"/>
    <col min="12290" max="12290" width="4.140625" style="5" customWidth="1"/>
    <col min="12291" max="12291" width="18.28515625" style="5" customWidth="1"/>
    <col min="12292" max="12292" width="3" style="5" customWidth="1"/>
    <col min="12293" max="12539" width="11.42578125" style="5"/>
    <col min="12540" max="12540" width="24.5703125" style="5" customWidth="1"/>
    <col min="12541" max="12541" width="7.5703125" style="5" customWidth="1"/>
    <col min="12542" max="12542" width="20.42578125" style="5" customWidth="1"/>
    <col min="12543" max="12543" width="2.5703125" style="5" customWidth="1"/>
    <col min="12544" max="12544" width="18.42578125" style="5" customWidth="1"/>
    <col min="12545" max="12545" width="10.7109375" style="5" bestFit="1" customWidth="1"/>
    <col min="12546" max="12546" width="4.140625" style="5" customWidth="1"/>
    <col min="12547" max="12547" width="18.28515625" style="5" customWidth="1"/>
    <col min="12548" max="12548" width="3" style="5" customWidth="1"/>
    <col min="12549" max="12795" width="11.42578125" style="5"/>
    <col min="12796" max="12796" width="24.5703125" style="5" customWidth="1"/>
    <col min="12797" max="12797" width="7.5703125" style="5" customWidth="1"/>
    <col min="12798" max="12798" width="20.42578125" style="5" customWidth="1"/>
    <col min="12799" max="12799" width="2.5703125" style="5" customWidth="1"/>
    <col min="12800" max="12800" width="18.42578125" style="5" customWidth="1"/>
    <col min="12801" max="12801" width="10.7109375" style="5" bestFit="1" customWidth="1"/>
    <col min="12802" max="12802" width="4.140625" style="5" customWidth="1"/>
    <col min="12803" max="12803" width="18.28515625" style="5" customWidth="1"/>
    <col min="12804" max="12804" width="3" style="5" customWidth="1"/>
    <col min="12805" max="13051" width="11.42578125" style="5"/>
    <col min="13052" max="13052" width="24.5703125" style="5" customWidth="1"/>
    <col min="13053" max="13053" width="7.5703125" style="5" customWidth="1"/>
    <col min="13054" max="13054" width="20.42578125" style="5" customWidth="1"/>
    <col min="13055" max="13055" width="2.5703125" style="5" customWidth="1"/>
    <col min="13056" max="13056" width="18.42578125" style="5" customWidth="1"/>
    <col min="13057" max="13057" width="10.7109375" style="5" bestFit="1" customWidth="1"/>
    <col min="13058" max="13058" width="4.140625" style="5" customWidth="1"/>
    <col min="13059" max="13059" width="18.28515625" style="5" customWidth="1"/>
    <col min="13060" max="13060" width="3" style="5" customWidth="1"/>
    <col min="13061" max="13307" width="11.42578125" style="5"/>
    <col min="13308" max="13308" width="24.5703125" style="5" customWidth="1"/>
    <col min="13309" max="13309" width="7.5703125" style="5" customWidth="1"/>
    <col min="13310" max="13310" width="20.42578125" style="5" customWidth="1"/>
    <col min="13311" max="13311" width="2.5703125" style="5" customWidth="1"/>
    <col min="13312" max="13312" width="18.42578125" style="5" customWidth="1"/>
    <col min="13313" max="13313" width="10.7109375" style="5" bestFit="1" customWidth="1"/>
    <col min="13314" max="13314" width="4.140625" style="5" customWidth="1"/>
    <col min="13315" max="13315" width="18.28515625" style="5" customWidth="1"/>
    <col min="13316" max="13316" width="3" style="5" customWidth="1"/>
    <col min="13317" max="13563" width="11.42578125" style="5"/>
    <col min="13564" max="13564" width="24.5703125" style="5" customWidth="1"/>
    <col min="13565" max="13565" width="7.5703125" style="5" customWidth="1"/>
    <col min="13566" max="13566" width="20.42578125" style="5" customWidth="1"/>
    <col min="13567" max="13567" width="2.5703125" style="5" customWidth="1"/>
    <col min="13568" max="13568" width="18.42578125" style="5" customWidth="1"/>
    <col min="13569" max="13569" width="10.7109375" style="5" bestFit="1" customWidth="1"/>
    <col min="13570" max="13570" width="4.140625" style="5" customWidth="1"/>
    <col min="13571" max="13571" width="18.28515625" style="5" customWidth="1"/>
    <col min="13572" max="13572" width="3" style="5" customWidth="1"/>
    <col min="13573" max="13819" width="11.42578125" style="5"/>
    <col min="13820" max="13820" width="24.5703125" style="5" customWidth="1"/>
    <col min="13821" max="13821" width="7.5703125" style="5" customWidth="1"/>
    <col min="13822" max="13822" width="20.42578125" style="5" customWidth="1"/>
    <col min="13823" max="13823" width="2.5703125" style="5" customWidth="1"/>
    <col min="13824" max="13824" width="18.42578125" style="5" customWidth="1"/>
    <col min="13825" max="13825" width="10.7109375" style="5" bestFit="1" customWidth="1"/>
    <col min="13826" max="13826" width="4.140625" style="5" customWidth="1"/>
    <col min="13827" max="13827" width="18.28515625" style="5" customWidth="1"/>
    <col min="13828" max="13828" width="3" style="5" customWidth="1"/>
    <col min="13829" max="14075" width="11.42578125" style="5"/>
    <col min="14076" max="14076" width="24.5703125" style="5" customWidth="1"/>
    <col min="14077" max="14077" width="7.5703125" style="5" customWidth="1"/>
    <col min="14078" max="14078" width="20.42578125" style="5" customWidth="1"/>
    <col min="14079" max="14079" width="2.5703125" style="5" customWidth="1"/>
    <col min="14080" max="14080" width="18.42578125" style="5" customWidth="1"/>
    <col min="14081" max="14081" width="10.7109375" style="5" bestFit="1" customWidth="1"/>
    <col min="14082" max="14082" width="4.140625" style="5" customWidth="1"/>
    <col min="14083" max="14083" width="18.28515625" style="5" customWidth="1"/>
    <col min="14084" max="14084" width="3" style="5" customWidth="1"/>
    <col min="14085" max="14331" width="11.42578125" style="5"/>
    <col min="14332" max="14332" width="24.5703125" style="5" customWidth="1"/>
    <col min="14333" max="14333" width="7.5703125" style="5" customWidth="1"/>
    <col min="14334" max="14334" width="20.42578125" style="5" customWidth="1"/>
    <col min="14335" max="14335" width="2.5703125" style="5" customWidth="1"/>
    <col min="14336" max="14336" width="18.42578125" style="5" customWidth="1"/>
    <col min="14337" max="14337" width="10.7109375" style="5" bestFit="1" customWidth="1"/>
    <col min="14338" max="14338" width="4.140625" style="5" customWidth="1"/>
    <col min="14339" max="14339" width="18.28515625" style="5" customWidth="1"/>
    <col min="14340" max="14340" width="3" style="5" customWidth="1"/>
    <col min="14341" max="14587" width="11.42578125" style="5"/>
    <col min="14588" max="14588" width="24.5703125" style="5" customWidth="1"/>
    <col min="14589" max="14589" width="7.5703125" style="5" customWidth="1"/>
    <col min="14590" max="14590" width="20.42578125" style="5" customWidth="1"/>
    <col min="14591" max="14591" width="2.5703125" style="5" customWidth="1"/>
    <col min="14592" max="14592" width="18.42578125" style="5" customWidth="1"/>
    <col min="14593" max="14593" width="10.7109375" style="5" bestFit="1" customWidth="1"/>
    <col min="14594" max="14594" width="4.140625" style="5" customWidth="1"/>
    <col min="14595" max="14595" width="18.28515625" style="5" customWidth="1"/>
    <col min="14596" max="14596" width="3" style="5" customWidth="1"/>
    <col min="14597" max="14843" width="11.42578125" style="5"/>
    <col min="14844" max="14844" width="24.5703125" style="5" customWidth="1"/>
    <col min="14845" max="14845" width="7.5703125" style="5" customWidth="1"/>
    <col min="14846" max="14846" width="20.42578125" style="5" customWidth="1"/>
    <col min="14847" max="14847" width="2.5703125" style="5" customWidth="1"/>
    <col min="14848" max="14848" width="18.42578125" style="5" customWidth="1"/>
    <col min="14849" max="14849" width="10.7109375" style="5" bestFit="1" customWidth="1"/>
    <col min="14850" max="14850" width="4.140625" style="5" customWidth="1"/>
    <col min="14851" max="14851" width="18.28515625" style="5" customWidth="1"/>
    <col min="14852" max="14852" width="3" style="5" customWidth="1"/>
    <col min="14853" max="15099" width="11.42578125" style="5"/>
    <col min="15100" max="15100" width="24.5703125" style="5" customWidth="1"/>
    <col min="15101" max="15101" width="7.5703125" style="5" customWidth="1"/>
    <col min="15102" max="15102" width="20.42578125" style="5" customWidth="1"/>
    <col min="15103" max="15103" width="2.5703125" style="5" customWidth="1"/>
    <col min="15104" max="15104" width="18.42578125" style="5" customWidth="1"/>
    <col min="15105" max="15105" width="10.7109375" style="5" bestFit="1" customWidth="1"/>
    <col min="15106" max="15106" width="4.140625" style="5" customWidth="1"/>
    <col min="15107" max="15107" width="18.28515625" style="5" customWidth="1"/>
    <col min="15108" max="15108" width="3" style="5" customWidth="1"/>
    <col min="15109" max="15355" width="11.42578125" style="5"/>
    <col min="15356" max="15356" width="24.5703125" style="5" customWidth="1"/>
    <col min="15357" max="15357" width="7.5703125" style="5" customWidth="1"/>
    <col min="15358" max="15358" width="20.42578125" style="5" customWidth="1"/>
    <col min="15359" max="15359" width="2.5703125" style="5" customWidth="1"/>
    <col min="15360" max="15360" width="18.42578125" style="5" customWidth="1"/>
    <col min="15361" max="15361" width="10.7109375" style="5" bestFit="1" customWidth="1"/>
    <col min="15362" max="15362" width="4.140625" style="5" customWidth="1"/>
    <col min="15363" max="15363" width="18.28515625" style="5" customWidth="1"/>
    <col min="15364" max="15364" width="3" style="5" customWidth="1"/>
    <col min="15365" max="15611" width="11.42578125" style="5"/>
    <col min="15612" max="15612" width="24.5703125" style="5" customWidth="1"/>
    <col min="15613" max="15613" width="7.5703125" style="5" customWidth="1"/>
    <col min="15614" max="15614" width="20.42578125" style="5" customWidth="1"/>
    <col min="15615" max="15615" width="2.5703125" style="5" customWidth="1"/>
    <col min="15616" max="15616" width="18.42578125" style="5" customWidth="1"/>
    <col min="15617" max="15617" width="10.7109375" style="5" bestFit="1" customWidth="1"/>
    <col min="15618" max="15618" width="4.140625" style="5" customWidth="1"/>
    <col min="15619" max="15619" width="18.28515625" style="5" customWidth="1"/>
    <col min="15620" max="15620" width="3" style="5" customWidth="1"/>
    <col min="15621" max="15867" width="11.42578125" style="5"/>
    <col min="15868" max="15868" width="24.5703125" style="5" customWidth="1"/>
    <col min="15869" max="15869" width="7.5703125" style="5" customWidth="1"/>
    <col min="15870" max="15870" width="20.42578125" style="5" customWidth="1"/>
    <col min="15871" max="15871" width="2.5703125" style="5" customWidth="1"/>
    <col min="15872" max="15872" width="18.42578125" style="5" customWidth="1"/>
    <col min="15873" max="15873" width="10.7109375" style="5" bestFit="1" customWidth="1"/>
    <col min="15874" max="15874" width="4.140625" style="5" customWidth="1"/>
    <col min="15875" max="15875" width="18.28515625" style="5" customWidth="1"/>
    <col min="15876" max="15876" width="3" style="5" customWidth="1"/>
    <col min="15877" max="16123" width="11.42578125" style="5"/>
    <col min="16124" max="16124" width="24.5703125" style="5" customWidth="1"/>
    <col min="16125" max="16125" width="7.5703125" style="5" customWidth="1"/>
    <col min="16126" max="16126" width="20.42578125" style="5" customWidth="1"/>
    <col min="16127" max="16127" width="2.5703125" style="5" customWidth="1"/>
    <col min="16128" max="16128" width="18.42578125" style="5" customWidth="1"/>
    <col min="16129" max="16129" width="10.7109375" style="5" bestFit="1" customWidth="1"/>
    <col min="16130" max="16130" width="4.140625" style="5" customWidth="1"/>
    <col min="16131" max="16131" width="18.28515625" style="5" customWidth="1"/>
    <col min="16132" max="16132" width="3" style="5" customWidth="1"/>
    <col min="16133" max="16379" width="11.42578125" style="5"/>
    <col min="16380" max="16384" width="11.42578125" style="5" customWidth="1"/>
  </cols>
  <sheetData>
    <row r="1" spans="1:5" ht="15" x14ac:dyDescent="0.25">
      <c r="A1" s="735"/>
      <c r="B1" s="735"/>
      <c r="C1" s="735"/>
      <c r="D1" s="956"/>
    </row>
    <row r="2" spans="1:5" ht="20.25" x14ac:dyDescent="0.3">
      <c r="A2" s="1103" t="s">
        <v>4106</v>
      </c>
      <c r="B2" s="1103"/>
      <c r="C2" s="1103"/>
      <c r="D2" s="1103"/>
      <c r="E2" s="1103"/>
    </row>
    <row r="3" spans="1:5" ht="15.75" x14ac:dyDescent="0.25">
      <c r="A3" s="1102" t="s">
        <v>3548</v>
      </c>
      <c r="B3" s="1102"/>
      <c r="C3" s="1102"/>
      <c r="D3" s="1102"/>
      <c r="E3" s="1102"/>
    </row>
    <row r="4" spans="1:5" ht="15.75" x14ac:dyDescent="0.25">
      <c r="A4" s="1102" t="s">
        <v>3534</v>
      </c>
      <c r="B4" s="1102"/>
      <c r="C4" s="1102"/>
      <c r="D4" s="1102"/>
      <c r="E4" s="1102"/>
    </row>
    <row r="5" spans="1:5" ht="15" x14ac:dyDescent="0.25">
      <c r="A5" s="14"/>
      <c r="C5" s="5"/>
    </row>
    <row r="6" spans="1:5" ht="15.75" x14ac:dyDescent="0.25">
      <c r="A6" s="1101" t="s">
        <v>3985</v>
      </c>
      <c r="B6" s="1101"/>
      <c r="C6" s="1101"/>
      <c r="D6" s="1101"/>
      <c r="E6" s="1101"/>
    </row>
    <row r="7" spans="1:5" ht="15" x14ac:dyDescent="0.25">
      <c r="A7" s="14"/>
      <c r="C7" s="5"/>
    </row>
    <row r="8" spans="1:5" ht="15" x14ac:dyDescent="0.25">
      <c r="A8" s="14"/>
      <c r="C8" s="5"/>
    </row>
    <row r="9" spans="1:5" x14ac:dyDescent="0.2">
      <c r="A9" s="5" t="s">
        <v>3384</v>
      </c>
      <c r="B9" s="958"/>
      <c r="C9" s="959">
        <v>677770041.25999999</v>
      </c>
    </row>
    <row r="10" spans="1:5" x14ac:dyDescent="0.2">
      <c r="B10" s="958"/>
      <c r="C10" s="959"/>
      <c r="E10" s="960"/>
    </row>
    <row r="11" spans="1:5" ht="15" thickBot="1" x14ac:dyDescent="0.25">
      <c r="A11" s="5" t="s">
        <v>3385</v>
      </c>
      <c r="B11" s="958"/>
      <c r="C11" s="961">
        <v>220694744.88</v>
      </c>
      <c r="D11" s="704" t="s">
        <v>3387</v>
      </c>
    </row>
    <row r="12" spans="1:5" x14ac:dyDescent="0.2">
      <c r="C12" s="5"/>
    </row>
    <row r="13" spans="1:5" ht="15" x14ac:dyDescent="0.25">
      <c r="A13" s="11" t="s">
        <v>3386</v>
      </c>
      <c r="B13" s="962"/>
      <c r="C13" s="963">
        <f>+C9-C11</f>
        <v>457075296.38</v>
      </c>
    </row>
    <row r="14" spans="1:5" x14ac:dyDescent="0.2">
      <c r="C14" s="5"/>
      <c r="D14" s="704"/>
    </row>
    <row r="15" spans="1:5" x14ac:dyDescent="0.2">
      <c r="C15" s="5"/>
      <c r="D15" s="704"/>
    </row>
    <row r="16" spans="1:5" x14ac:dyDescent="0.2">
      <c r="C16" s="5"/>
      <c r="D16" s="704"/>
    </row>
    <row r="17" spans="1:5" x14ac:dyDescent="0.2">
      <c r="C17" s="5"/>
    </row>
    <row r="18" spans="1:5" ht="15.75" x14ac:dyDescent="0.25">
      <c r="A18" s="1101" t="s">
        <v>3986</v>
      </c>
      <c r="B18" s="1101"/>
      <c r="C18" s="1101"/>
      <c r="D18" s="1101"/>
      <c r="E18" s="1101"/>
    </row>
    <row r="19" spans="1:5" x14ac:dyDescent="0.2">
      <c r="A19" s="964"/>
      <c r="B19" s="958" t="s">
        <v>468</v>
      </c>
      <c r="C19" s="13" t="s">
        <v>468</v>
      </c>
      <c r="D19" s="704"/>
    </row>
    <row r="20" spans="1:5" ht="15" x14ac:dyDescent="0.25">
      <c r="A20" s="11" t="s">
        <v>2691</v>
      </c>
      <c r="E20" s="960" t="s">
        <v>4165</v>
      </c>
    </row>
    <row r="22" spans="1:5" x14ac:dyDescent="0.2">
      <c r="A22" s="5" t="s">
        <v>523</v>
      </c>
      <c r="B22" s="958"/>
      <c r="C22" s="959">
        <v>850000000</v>
      </c>
    </row>
    <row r="23" spans="1:5" ht="15" thickBot="1" x14ac:dyDescent="0.25">
      <c r="A23" s="5" t="s">
        <v>1023</v>
      </c>
      <c r="B23" s="958"/>
      <c r="C23" s="961">
        <v>677770041.25999999</v>
      </c>
      <c r="E23" s="794">
        <f>+C23/C22</f>
        <v>0.79737651912941176</v>
      </c>
    </row>
    <row r="25" spans="1:5" s="11" customFormat="1" ht="15" x14ac:dyDescent="0.25">
      <c r="A25" s="11" t="s">
        <v>387</v>
      </c>
      <c r="B25" s="962"/>
      <c r="C25" s="965">
        <f>+C22-C23</f>
        <v>172229958.74000001</v>
      </c>
      <c r="D25" s="956"/>
      <c r="E25" s="966"/>
    </row>
    <row r="28" spans="1:5" ht="15" x14ac:dyDescent="0.25">
      <c r="A28" s="11" t="s">
        <v>2692</v>
      </c>
      <c r="E28" s="960" t="s">
        <v>3447</v>
      </c>
    </row>
    <row r="30" spans="1:5" x14ac:dyDescent="0.2">
      <c r="A30" s="5" t="s">
        <v>523</v>
      </c>
      <c r="B30" s="958"/>
      <c r="C30" s="959">
        <v>850000000</v>
      </c>
    </row>
    <row r="31" spans="1:5" ht="15" thickBot="1" x14ac:dyDescent="0.25">
      <c r="A31" s="5" t="s">
        <v>1023</v>
      </c>
      <c r="B31" s="958"/>
      <c r="C31" s="961">
        <v>220694744.88</v>
      </c>
      <c r="D31" s="704" t="s">
        <v>3387</v>
      </c>
      <c r="E31" s="794">
        <f>+C31/C30</f>
        <v>0.25964087632941174</v>
      </c>
    </row>
    <row r="33" spans="1:5" s="11" customFormat="1" ht="15" x14ac:dyDescent="0.25">
      <c r="A33" s="11" t="s">
        <v>1170</v>
      </c>
      <c r="B33" s="962"/>
      <c r="C33" s="965">
        <f>+C30-C31</f>
        <v>629305255.12</v>
      </c>
      <c r="D33" s="956"/>
      <c r="E33" s="966"/>
    </row>
    <row r="38" spans="1:5" s="11" customFormat="1" ht="15" x14ac:dyDescent="0.25">
      <c r="A38" s="20" t="s">
        <v>2272</v>
      </c>
      <c r="B38" s="962"/>
      <c r="C38" s="965">
        <f>+C33-C25</f>
        <v>457075296.38</v>
      </c>
      <c r="D38" s="956"/>
      <c r="E38" s="966"/>
    </row>
    <row r="40" spans="1:5" x14ac:dyDescent="0.2">
      <c r="A40" s="17" t="s">
        <v>1712</v>
      </c>
      <c r="B40" s="958"/>
      <c r="C40" s="13">
        <v>23071497.77</v>
      </c>
    </row>
    <row r="42" spans="1:5" s="11" customFormat="1" ht="15.75" thickBot="1" x14ac:dyDescent="0.3">
      <c r="A42" s="11" t="s">
        <v>3388</v>
      </c>
      <c r="B42" s="962"/>
      <c r="C42" s="967">
        <f>+C38-C40</f>
        <v>434003798.61000001</v>
      </c>
      <c r="D42" s="956"/>
      <c r="E42" s="966"/>
    </row>
    <row r="43" spans="1:5" ht="15" thickTop="1" x14ac:dyDescent="0.2"/>
    <row r="46" spans="1:5" ht="15" x14ac:dyDescent="0.25">
      <c r="A46" s="5" t="s">
        <v>4192</v>
      </c>
    </row>
    <row r="47" spans="1:5" ht="45" customHeight="1" x14ac:dyDescent="0.2">
      <c r="A47" s="1094" t="s">
        <v>4191</v>
      </c>
      <c r="B47" s="1094"/>
      <c r="C47" s="1094"/>
    </row>
    <row r="48" spans="1:5" x14ac:dyDescent="0.2">
      <c r="A48" s="5" t="s">
        <v>468</v>
      </c>
    </row>
    <row r="49" spans="1:1" x14ac:dyDescent="0.2">
      <c r="A49" s="5" t="s">
        <v>468</v>
      </c>
    </row>
    <row r="50" spans="1:1" x14ac:dyDescent="0.2">
      <c r="A50" s="5" t="s">
        <v>468</v>
      </c>
    </row>
    <row r="51" spans="1:1" x14ac:dyDescent="0.2">
      <c r="A51" s="5" t="s">
        <v>468</v>
      </c>
    </row>
    <row r="52" spans="1:1" x14ac:dyDescent="0.2">
      <c r="A52" s="5" t="s">
        <v>468</v>
      </c>
    </row>
  </sheetData>
  <mergeCells count="6">
    <mergeCell ref="A47:C47"/>
    <mergeCell ref="A18:E18"/>
    <mergeCell ref="A4:E4"/>
    <mergeCell ref="A2:E2"/>
    <mergeCell ref="A3:E3"/>
    <mergeCell ref="A6:E6"/>
  </mergeCells>
  <phoneticPr fontId="0" type="noConversion"/>
  <printOptions horizontalCentered="1"/>
  <pageMargins left="1.1811023622047245" right="0.59055118110236227" top="1.5748031496062993" bottom="0.78740157480314965" header="0.62992125984251968" footer="0.86614173228346458"/>
  <pageSetup paperSize="9" scale="87" orientation="portrait" r:id="rId1"/>
  <headerFooter alignWithMargins="0">
    <oddHeader>&amp;C&amp;"Arial,Negrita"&amp;11UNIVERSIDAD DE COSTA RICA
VICERRECTORÍA DE ADMINISTRACIÓN
OFICINA DE ADMINISTRACIÓN FINANCIERA</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P164"/>
  <sheetViews>
    <sheetView topLeftCell="C55" workbookViewId="0">
      <selection activeCell="L70" sqref="L70"/>
    </sheetView>
  </sheetViews>
  <sheetFormatPr baseColWidth="10" defaultColWidth="11.42578125" defaultRowHeight="12.75" x14ac:dyDescent="0.2"/>
  <cols>
    <col min="1" max="1" width="14.5703125" style="217" customWidth="1"/>
    <col min="2" max="2" width="58.7109375" style="970" bestFit="1" customWidth="1"/>
    <col min="3" max="5" width="17" style="970" customWidth="1"/>
    <col min="6" max="6" width="2.5703125" style="970" customWidth="1"/>
    <col min="7" max="7" width="16.28515625" style="971" customWidth="1"/>
    <col min="8" max="8" width="16.85546875" style="970" bestFit="1" customWidth="1"/>
    <col min="9" max="9" width="19.42578125" style="970" customWidth="1"/>
    <col min="10" max="10" width="17.28515625" style="970" bestFit="1" customWidth="1"/>
    <col min="11" max="11" width="21.140625" style="970" customWidth="1"/>
    <col min="12" max="12" width="17" style="970" customWidth="1"/>
    <col min="13" max="13" width="14.7109375" style="970" bestFit="1" customWidth="1"/>
    <col min="14" max="15" width="11.42578125" style="970"/>
    <col min="16" max="16" width="14.140625" style="970" bestFit="1" customWidth="1"/>
    <col min="17" max="17" width="15.140625" style="970" bestFit="1" customWidth="1"/>
    <col min="18" max="16384" width="11.42578125" style="970"/>
  </cols>
  <sheetData>
    <row r="1" spans="1:15" s="178" customFormat="1" ht="15.75" thickBot="1" x14ac:dyDescent="0.3">
      <c r="A1" s="1106" t="s">
        <v>3378</v>
      </c>
      <c r="B1" s="1106"/>
      <c r="C1" s="1107"/>
      <c r="D1" s="1106"/>
      <c r="E1" s="1106"/>
      <c r="F1" s="1106"/>
      <c r="G1" s="1106" t="s">
        <v>3377</v>
      </c>
      <c r="H1" s="1106"/>
      <c r="I1" s="1106"/>
      <c r="J1" s="1106"/>
      <c r="K1" s="1106"/>
      <c r="L1" s="1106"/>
    </row>
    <row r="2" spans="1:15" ht="26.25" thickBot="1" x14ac:dyDescent="0.25">
      <c r="A2" s="968" t="s">
        <v>33</v>
      </c>
      <c r="B2" s="969" t="s">
        <v>2357</v>
      </c>
      <c r="C2" s="969" t="s">
        <v>34</v>
      </c>
      <c r="D2" s="969" t="s">
        <v>531</v>
      </c>
      <c r="E2" s="969" t="s">
        <v>35</v>
      </c>
      <c r="F2" s="969"/>
      <c r="G2" s="969" t="s">
        <v>695</v>
      </c>
      <c r="H2" s="969" t="s">
        <v>85</v>
      </c>
      <c r="I2" s="969" t="s">
        <v>696</v>
      </c>
      <c r="J2" s="969" t="s">
        <v>531</v>
      </c>
      <c r="K2" s="969" t="s">
        <v>694</v>
      </c>
      <c r="L2" s="969" t="s">
        <v>35</v>
      </c>
    </row>
    <row r="3" spans="1:15" x14ac:dyDescent="0.2">
      <c r="A3" s="217">
        <v>2003</v>
      </c>
      <c r="B3" s="970" t="s">
        <v>101</v>
      </c>
      <c r="C3" s="970">
        <v>0</v>
      </c>
      <c r="D3" s="970">
        <v>59025</v>
      </c>
      <c r="E3" s="970">
        <f t="shared" ref="E3:E55" si="0">C3-D3</f>
        <v>-59025</v>
      </c>
      <c r="F3" s="130"/>
      <c r="G3" s="971">
        <v>103192.43999999994</v>
      </c>
      <c r="H3" s="970">
        <f t="shared" ref="H3:H55" si="1">I3-G3</f>
        <v>295125.00000000006</v>
      </c>
      <c r="I3" s="970">
        <v>398317.44</v>
      </c>
      <c r="J3" s="970">
        <f t="shared" ref="J3:J56" si="2">D3</f>
        <v>59025</v>
      </c>
      <c r="K3" s="970">
        <v>0</v>
      </c>
      <c r="L3" s="970">
        <f t="shared" ref="L3:L55" si="3">I3-J3-K3</f>
        <v>339292.44</v>
      </c>
    </row>
    <row r="4" spans="1:15" x14ac:dyDescent="0.2">
      <c r="A4" s="217">
        <v>2005</v>
      </c>
      <c r="B4" s="970" t="s">
        <v>1160</v>
      </c>
      <c r="C4" s="970">
        <v>4000000</v>
      </c>
      <c r="D4" s="970">
        <v>516068</v>
      </c>
      <c r="E4" s="970">
        <f t="shared" si="0"/>
        <v>3483932</v>
      </c>
      <c r="F4" s="130"/>
      <c r="G4" s="971">
        <v>2084499.91</v>
      </c>
      <c r="H4" s="970">
        <f t="shared" si="1"/>
        <v>487205.00000000023</v>
      </c>
      <c r="I4" s="970">
        <v>2571704.91</v>
      </c>
      <c r="J4" s="970">
        <f t="shared" si="2"/>
        <v>516068</v>
      </c>
      <c r="K4" s="970">
        <v>0</v>
      </c>
      <c r="L4" s="970">
        <f t="shared" si="3"/>
        <v>2055636.9100000001</v>
      </c>
      <c r="N4" s="217"/>
      <c r="O4" s="1"/>
    </row>
    <row r="5" spans="1:15" x14ac:dyDescent="0.2">
      <c r="A5" s="217">
        <v>2007</v>
      </c>
      <c r="B5" s="970" t="s">
        <v>102</v>
      </c>
      <c r="C5" s="970">
        <v>0</v>
      </c>
      <c r="D5" s="970">
        <v>41813</v>
      </c>
      <c r="E5" s="970">
        <f t="shared" si="0"/>
        <v>-41813</v>
      </c>
      <c r="F5" s="130"/>
      <c r="G5" s="971">
        <v>923509.88</v>
      </c>
      <c r="H5" s="970">
        <f t="shared" si="1"/>
        <v>226224.99999999988</v>
      </c>
      <c r="I5" s="970">
        <v>1149734.8799999999</v>
      </c>
      <c r="J5" s="970">
        <f t="shared" si="2"/>
        <v>41813</v>
      </c>
      <c r="K5" s="970">
        <v>0</v>
      </c>
      <c r="L5" s="970">
        <f t="shared" si="3"/>
        <v>1107921.8799999999</v>
      </c>
      <c r="N5" s="217"/>
      <c r="O5" s="1"/>
    </row>
    <row r="6" spans="1:15" x14ac:dyDescent="0.2">
      <c r="A6" s="217">
        <v>2008</v>
      </c>
      <c r="B6" s="970" t="s">
        <v>103</v>
      </c>
      <c r="C6" s="970">
        <v>0</v>
      </c>
      <c r="D6" s="970">
        <v>27459</v>
      </c>
      <c r="E6" s="970">
        <f t="shared" si="0"/>
        <v>-27459</v>
      </c>
      <c r="F6" s="130"/>
      <c r="G6" s="971">
        <v>4507367</v>
      </c>
      <c r="H6" s="970">
        <f t="shared" si="1"/>
        <v>144160</v>
      </c>
      <c r="I6" s="970">
        <v>4651527</v>
      </c>
      <c r="J6" s="970">
        <f t="shared" si="2"/>
        <v>27459</v>
      </c>
      <c r="K6" s="970">
        <v>0</v>
      </c>
      <c r="L6" s="970">
        <f t="shared" si="3"/>
        <v>4624068</v>
      </c>
      <c r="N6" s="217"/>
      <c r="O6" s="1"/>
    </row>
    <row r="7" spans="1:15" x14ac:dyDescent="0.2">
      <c r="A7" s="217">
        <v>2009</v>
      </c>
      <c r="B7" s="970" t="s">
        <v>1120</v>
      </c>
      <c r="C7" s="970">
        <v>0</v>
      </c>
      <c r="D7" s="970">
        <v>23334</v>
      </c>
      <c r="E7" s="970">
        <f t="shared" si="0"/>
        <v>-23334</v>
      </c>
      <c r="F7" s="130"/>
      <c r="G7" s="971">
        <v>7544600.8700000001</v>
      </c>
      <c r="H7" s="970">
        <f t="shared" si="1"/>
        <v>126965</v>
      </c>
      <c r="I7" s="970">
        <v>7671565.8700000001</v>
      </c>
      <c r="J7" s="970">
        <f t="shared" si="2"/>
        <v>23334</v>
      </c>
      <c r="K7" s="970">
        <v>0</v>
      </c>
      <c r="L7" s="970">
        <f t="shared" si="3"/>
        <v>7648231.8700000001</v>
      </c>
      <c r="N7" s="217"/>
      <c r="O7" s="1"/>
    </row>
    <row r="8" spans="1:15" x14ac:dyDescent="0.2">
      <c r="A8" s="217">
        <v>2046</v>
      </c>
      <c r="B8" s="970" t="s">
        <v>1516</v>
      </c>
      <c r="C8" s="970">
        <v>0</v>
      </c>
      <c r="D8" s="970">
        <v>0</v>
      </c>
      <c r="E8" s="970">
        <f t="shared" si="0"/>
        <v>0</v>
      </c>
      <c r="F8" s="130"/>
      <c r="G8" s="971">
        <v>1124000</v>
      </c>
      <c r="H8" s="970">
        <f t="shared" si="1"/>
        <v>0</v>
      </c>
      <c r="I8" s="970">
        <v>1124000</v>
      </c>
      <c r="J8" s="970">
        <f t="shared" si="2"/>
        <v>0</v>
      </c>
      <c r="K8" s="970">
        <v>0</v>
      </c>
      <c r="L8" s="970">
        <f t="shared" si="3"/>
        <v>1124000</v>
      </c>
      <c r="N8" s="217"/>
      <c r="O8" s="1"/>
    </row>
    <row r="9" spans="1:15" x14ac:dyDescent="0.2">
      <c r="A9" s="217">
        <v>2051</v>
      </c>
      <c r="B9" s="970" t="s">
        <v>1452</v>
      </c>
      <c r="C9" s="970">
        <v>23863395.359999999</v>
      </c>
      <c r="D9" s="970">
        <v>11902580.949999999</v>
      </c>
      <c r="E9" s="970">
        <f t="shared" si="0"/>
        <v>11960814.41</v>
      </c>
      <c r="F9" s="130"/>
      <c r="G9" s="971">
        <v>1365956.1799999997</v>
      </c>
      <c r="H9" s="970">
        <f t="shared" si="1"/>
        <v>15758325</v>
      </c>
      <c r="I9" s="970">
        <v>17124281.18</v>
      </c>
      <c r="J9" s="970">
        <f t="shared" si="2"/>
        <v>11902580.949999999</v>
      </c>
      <c r="K9" s="970">
        <v>0</v>
      </c>
      <c r="L9" s="970">
        <f t="shared" si="3"/>
        <v>5221700.2300000004</v>
      </c>
      <c r="N9" s="217"/>
      <c r="O9" s="1"/>
    </row>
    <row r="10" spans="1:15" x14ac:dyDescent="0.2">
      <c r="A10" s="217">
        <v>2053</v>
      </c>
      <c r="B10" s="970" t="s">
        <v>2312</v>
      </c>
      <c r="C10" s="970">
        <v>22422623</v>
      </c>
      <c r="D10" s="970">
        <v>8072160.2999999998</v>
      </c>
      <c r="E10" s="970">
        <f t="shared" si="0"/>
        <v>14350462.699999999</v>
      </c>
      <c r="F10" s="130"/>
      <c r="G10" s="971">
        <v>10251662.339999998</v>
      </c>
      <c r="H10" s="970">
        <f t="shared" si="1"/>
        <v>11674577.000000002</v>
      </c>
      <c r="I10" s="970">
        <v>21926239.34</v>
      </c>
      <c r="J10" s="970">
        <f t="shared" si="2"/>
        <v>8072160.2999999998</v>
      </c>
      <c r="K10" s="970">
        <v>178781</v>
      </c>
      <c r="L10" s="970">
        <f t="shared" si="3"/>
        <v>13675298.039999999</v>
      </c>
      <c r="N10" s="217"/>
      <c r="O10" s="1"/>
    </row>
    <row r="11" spans="1:15" x14ac:dyDescent="0.2">
      <c r="A11" s="217">
        <v>2055</v>
      </c>
      <c r="B11" s="970" t="s">
        <v>1691</v>
      </c>
      <c r="C11" s="970">
        <v>51453937.200000003</v>
      </c>
      <c r="D11" s="970">
        <v>18055250.43</v>
      </c>
      <c r="E11" s="970">
        <f t="shared" si="0"/>
        <v>33398686.770000003</v>
      </c>
      <c r="F11" s="130"/>
      <c r="G11" s="971">
        <v>17180132.110000003</v>
      </c>
      <c r="H11" s="970">
        <f t="shared" si="1"/>
        <v>20022578.799999993</v>
      </c>
      <c r="I11" s="970">
        <v>37202710.909999996</v>
      </c>
      <c r="J11" s="970">
        <f t="shared" si="2"/>
        <v>18055250.43</v>
      </c>
      <c r="K11" s="970">
        <v>116996.75</v>
      </c>
      <c r="L11" s="970">
        <f t="shared" si="3"/>
        <v>19030463.729999997</v>
      </c>
      <c r="N11" s="217"/>
      <c r="O11" s="1"/>
    </row>
    <row r="12" spans="1:15" x14ac:dyDescent="0.2">
      <c r="A12" s="217">
        <v>2056</v>
      </c>
      <c r="B12" s="970" t="s">
        <v>1693</v>
      </c>
      <c r="C12" s="970">
        <v>20920000</v>
      </c>
      <c r="D12" s="970">
        <v>7960635.4699999997</v>
      </c>
      <c r="E12" s="970">
        <f t="shared" si="0"/>
        <v>12959364.530000001</v>
      </c>
      <c r="F12" s="130"/>
      <c r="G12" s="971">
        <v>4651749.9699999988</v>
      </c>
      <c r="H12" s="970">
        <f t="shared" si="1"/>
        <v>11219900.000000002</v>
      </c>
      <c r="I12" s="970">
        <v>15871649.970000001</v>
      </c>
      <c r="J12" s="970">
        <f t="shared" si="2"/>
        <v>7960635.4699999997</v>
      </c>
      <c r="K12" s="970">
        <v>0</v>
      </c>
      <c r="L12" s="970">
        <f t="shared" si="3"/>
        <v>7911014.5000000009</v>
      </c>
      <c r="N12" s="217"/>
      <c r="O12" s="1"/>
    </row>
    <row r="13" spans="1:15" x14ac:dyDescent="0.2">
      <c r="A13" s="217">
        <v>2102</v>
      </c>
      <c r="B13" s="178" t="s">
        <v>1040</v>
      </c>
      <c r="C13" s="970">
        <v>20946525.02</v>
      </c>
      <c r="D13" s="970">
        <v>8115814.3499999996</v>
      </c>
      <c r="E13" s="970">
        <f t="shared" si="0"/>
        <v>12830710.67</v>
      </c>
      <c r="F13" s="130"/>
      <c r="G13" s="971">
        <v>8668185.5899999999</v>
      </c>
      <c r="H13" s="970">
        <f t="shared" si="1"/>
        <v>11051098.43</v>
      </c>
      <c r="I13" s="970">
        <v>19719284.02</v>
      </c>
      <c r="J13" s="970">
        <f t="shared" si="2"/>
        <v>8115814.3499999996</v>
      </c>
      <c r="K13" s="970">
        <v>467565.03</v>
      </c>
      <c r="L13" s="970">
        <f t="shared" si="3"/>
        <v>11135904.640000001</v>
      </c>
      <c r="N13" s="217"/>
      <c r="O13" s="1"/>
    </row>
    <row r="14" spans="1:15" x14ac:dyDescent="0.2">
      <c r="A14" s="217">
        <v>2150</v>
      </c>
      <c r="B14" s="970" t="s">
        <v>829</v>
      </c>
      <c r="C14" s="970">
        <v>112739116.48999999</v>
      </c>
      <c r="D14" s="970">
        <v>9365141.5999999996</v>
      </c>
      <c r="E14" s="970">
        <f t="shared" si="0"/>
        <v>103373974.89</v>
      </c>
      <c r="F14" s="130"/>
      <c r="G14" s="971">
        <v>57995225.320000008</v>
      </c>
      <c r="H14" s="970">
        <f t="shared" si="1"/>
        <v>40019906.489999995</v>
      </c>
      <c r="I14" s="970">
        <v>98015131.810000002</v>
      </c>
      <c r="J14" s="970">
        <f t="shared" si="2"/>
        <v>9365141.5999999996</v>
      </c>
      <c r="K14" s="970">
        <v>18295175.190000001</v>
      </c>
      <c r="L14" s="970">
        <f t="shared" si="3"/>
        <v>70354815.020000011</v>
      </c>
      <c r="N14" s="217"/>
      <c r="O14" s="1"/>
    </row>
    <row r="15" spans="1:15" x14ac:dyDescent="0.2">
      <c r="A15" s="217">
        <v>2168</v>
      </c>
      <c r="B15" s="970" t="s">
        <v>2313</v>
      </c>
      <c r="C15" s="970">
        <v>494500</v>
      </c>
      <c r="D15" s="970">
        <v>494500</v>
      </c>
      <c r="E15" s="970">
        <f t="shared" si="0"/>
        <v>0</v>
      </c>
      <c r="F15" s="130"/>
      <c r="G15" s="971">
        <v>10109.169999999984</v>
      </c>
      <c r="H15" s="970">
        <f t="shared" si="1"/>
        <v>494500</v>
      </c>
      <c r="I15" s="970">
        <v>504609.17</v>
      </c>
      <c r="J15" s="970">
        <f t="shared" si="2"/>
        <v>494500</v>
      </c>
      <c r="K15" s="970">
        <v>0</v>
      </c>
      <c r="L15" s="970">
        <f t="shared" si="3"/>
        <v>10109.169999999984</v>
      </c>
      <c r="N15" s="217"/>
      <c r="O15" s="1"/>
    </row>
    <row r="16" spans="1:15" x14ac:dyDescent="0.2">
      <c r="A16" s="217">
        <v>2200</v>
      </c>
      <c r="B16" s="970" t="s">
        <v>607</v>
      </c>
      <c r="C16" s="970">
        <v>95473951.579999998</v>
      </c>
      <c r="D16" s="970">
        <v>38388623.049999997</v>
      </c>
      <c r="E16" s="970">
        <f t="shared" si="0"/>
        <v>57085328.530000001</v>
      </c>
      <c r="F16" s="130"/>
      <c r="G16" s="971">
        <v>1985340.379999999</v>
      </c>
      <c r="H16" s="970">
        <f t="shared" si="1"/>
        <v>45037712.450000003</v>
      </c>
      <c r="I16" s="970">
        <v>47023052.829999998</v>
      </c>
      <c r="J16" s="970">
        <f t="shared" si="2"/>
        <v>38388623.049999997</v>
      </c>
      <c r="K16" s="970">
        <v>2246999.0499999998</v>
      </c>
      <c r="L16" s="970">
        <f t="shared" si="3"/>
        <v>6387430.7300000014</v>
      </c>
      <c r="N16" s="217"/>
      <c r="O16" s="1"/>
    </row>
    <row r="17" spans="1:15" x14ac:dyDescent="0.2">
      <c r="A17" s="217">
        <v>2311</v>
      </c>
      <c r="B17" s="970" t="s">
        <v>2314</v>
      </c>
      <c r="C17" s="970">
        <v>0</v>
      </c>
      <c r="D17" s="970">
        <v>0</v>
      </c>
      <c r="E17" s="970">
        <f t="shared" si="0"/>
        <v>0</v>
      </c>
      <c r="F17" s="130"/>
      <c r="G17" s="971">
        <v>624000</v>
      </c>
      <c r="H17" s="970">
        <f t="shared" si="1"/>
        <v>0</v>
      </c>
      <c r="I17" s="970">
        <v>624000</v>
      </c>
      <c r="J17" s="970">
        <f t="shared" si="2"/>
        <v>0</v>
      </c>
      <c r="K17" s="970">
        <v>0</v>
      </c>
      <c r="L17" s="970">
        <f t="shared" si="3"/>
        <v>624000</v>
      </c>
      <c r="N17" s="217"/>
      <c r="O17" s="1"/>
    </row>
    <row r="18" spans="1:15" x14ac:dyDescent="0.2">
      <c r="A18" s="217">
        <v>2314</v>
      </c>
      <c r="B18" s="970" t="s">
        <v>1041</v>
      </c>
      <c r="C18" s="970">
        <v>52616653.920000002</v>
      </c>
      <c r="D18" s="970">
        <v>6680448.0499999998</v>
      </c>
      <c r="E18" s="970">
        <f t="shared" si="0"/>
        <v>45936205.870000005</v>
      </c>
      <c r="F18" s="130"/>
      <c r="G18" s="971">
        <v>26813379.769999996</v>
      </c>
      <c r="H18" s="970">
        <f t="shared" si="1"/>
        <v>8059175.0000000075</v>
      </c>
      <c r="I18" s="970">
        <v>34872554.770000003</v>
      </c>
      <c r="J18" s="970">
        <f t="shared" si="2"/>
        <v>6680448.0499999998</v>
      </c>
      <c r="K18" s="970">
        <v>0</v>
      </c>
      <c r="L18" s="970">
        <f t="shared" si="3"/>
        <v>28192106.720000003</v>
      </c>
      <c r="N18" s="217"/>
      <c r="O18" s="1"/>
    </row>
    <row r="19" spans="1:15" x14ac:dyDescent="0.2">
      <c r="A19" s="217">
        <v>2316</v>
      </c>
      <c r="B19" s="970" t="s">
        <v>900</v>
      </c>
      <c r="C19" s="970">
        <v>74659362.739999995</v>
      </c>
      <c r="D19" s="970">
        <v>17033291.739999998</v>
      </c>
      <c r="E19" s="970">
        <f t="shared" si="0"/>
        <v>57626071</v>
      </c>
      <c r="F19" s="130"/>
      <c r="G19" s="971">
        <v>42924793.38000001</v>
      </c>
      <c r="H19" s="970">
        <f t="shared" si="1"/>
        <v>15338204.999999993</v>
      </c>
      <c r="I19" s="970">
        <v>58262998.380000003</v>
      </c>
      <c r="J19" s="970">
        <f t="shared" si="2"/>
        <v>17033291.739999998</v>
      </c>
      <c r="K19" s="970">
        <v>334000</v>
      </c>
      <c r="L19" s="970">
        <f t="shared" si="3"/>
        <v>40895706.640000001</v>
      </c>
      <c r="N19" s="217"/>
      <c r="O19" s="1"/>
    </row>
    <row r="20" spans="1:15" x14ac:dyDescent="0.2">
      <c r="A20" s="217">
        <v>2317</v>
      </c>
      <c r="B20" s="970" t="s">
        <v>2315</v>
      </c>
      <c r="C20" s="970">
        <v>8629772.7200000007</v>
      </c>
      <c r="D20" s="970">
        <v>1424500</v>
      </c>
      <c r="E20" s="970">
        <f t="shared" si="0"/>
        <v>7205272.7200000007</v>
      </c>
      <c r="F20" s="130"/>
      <c r="G20" s="971">
        <v>1092414.4800000004</v>
      </c>
      <c r="H20" s="970">
        <f t="shared" si="1"/>
        <v>4776500</v>
      </c>
      <c r="I20" s="970">
        <v>5868914.4800000004</v>
      </c>
      <c r="J20" s="970">
        <f t="shared" si="2"/>
        <v>1424500</v>
      </c>
      <c r="K20" s="970">
        <v>0</v>
      </c>
      <c r="L20" s="970">
        <f t="shared" si="3"/>
        <v>4444414.4800000004</v>
      </c>
      <c r="N20" s="217"/>
      <c r="O20" s="1"/>
    </row>
    <row r="21" spans="1:15" x14ac:dyDescent="0.2">
      <c r="A21" s="217">
        <v>2321</v>
      </c>
      <c r="B21" s="970" t="s">
        <v>901</v>
      </c>
      <c r="C21" s="970">
        <v>0</v>
      </c>
      <c r="D21" s="970">
        <v>0</v>
      </c>
      <c r="E21" s="970">
        <f t="shared" si="0"/>
        <v>0</v>
      </c>
      <c r="F21" s="130"/>
      <c r="G21" s="971">
        <v>323495.90999999997</v>
      </c>
      <c r="H21" s="970">
        <f t="shared" si="1"/>
        <v>0</v>
      </c>
      <c r="I21" s="970">
        <v>323495.90999999997</v>
      </c>
      <c r="J21" s="970">
        <f t="shared" si="2"/>
        <v>0</v>
      </c>
      <c r="K21" s="970">
        <v>0</v>
      </c>
      <c r="L21" s="970">
        <f t="shared" si="3"/>
        <v>323495.90999999997</v>
      </c>
      <c r="N21" s="217"/>
      <c r="O21" s="1"/>
    </row>
    <row r="22" spans="1:15" x14ac:dyDescent="0.2">
      <c r="A22" s="217">
        <v>2324</v>
      </c>
      <c r="B22" s="970" t="s">
        <v>600</v>
      </c>
      <c r="C22" s="970">
        <v>7077811.1100000003</v>
      </c>
      <c r="D22" s="970">
        <v>3288218.45</v>
      </c>
      <c r="E22" s="970">
        <f t="shared" si="0"/>
        <v>3789592.66</v>
      </c>
      <c r="F22" s="130"/>
      <c r="G22" s="971">
        <v>3643793.6900000004</v>
      </c>
      <c r="H22" s="970">
        <f t="shared" si="1"/>
        <v>1949923</v>
      </c>
      <c r="I22" s="970">
        <v>5593716.6900000004</v>
      </c>
      <c r="J22" s="970">
        <f t="shared" si="2"/>
        <v>3288218.45</v>
      </c>
      <c r="K22" s="970">
        <v>195428</v>
      </c>
      <c r="L22" s="970">
        <f t="shared" si="3"/>
        <v>2110070.2400000002</v>
      </c>
      <c r="N22" s="217"/>
      <c r="O22" s="1"/>
    </row>
    <row r="23" spans="1:15" x14ac:dyDescent="0.2">
      <c r="A23" s="217">
        <v>2335</v>
      </c>
      <c r="B23" s="970" t="s">
        <v>1013</v>
      </c>
      <c r="C23" s="970">
        <v>54475000</v>
      </c>
      <c r="D23" s="970">
        <v>11350224.66</v>
      </c>
      <c r="E23" s="970">
        <f t="shared" si="0"/>
        <v>43124775.340000004</v>
      </c>
      <c r="F23" s="130"/>
      <c r="G23" s="971">
        <v>32645551.849999998</v>
      </c>
      <c r="H23" s="970">
        <f t="shared" si="1"/>
        <v>9239000.0000000037</v>
      </c>
      <c r="I23" s="970">
        <v>41884551.850000001</v>
      </c>
      <c r="J23" s="970">
        <f t="shared" si="2"/>
        <v>11350224.66</v>
      </c>
      <c r="K23" s="970">
        <v>0</v>
      </c>
      <c r="L23" s="970">
        <f t="shared" si="3"/>
        <v>30534327.190000001</v>
      </c>
      <c r="N23" s="217"/>
      <c r="O23" s="1"/>
    </row>
    <row r="24" spans="1:15" x14ac:dyDescent="0.2">
      <c r="A24" s="217">
        <v>2341</v>
      </c>
      <c r="B24" s="970" t="s">
        <v>383</v>
      </c>
      <c r="C24" s="970">
        <v>41395322.950000003</v>
      </c>
      <c r="D24" s="970">
        <v>8296022.6500000004</v>
      </c>
      <c r="E24" s="970">
        <f t="shared" si="0"/>
        <v>33099300.300000004</v>
      </c>
      <c r="F24" s="130"/>
      <c r="G24" s="971">
        <v>26286775.989999998</v>
      </c>
      <c r="H24" s="970">
        <f t="shared" si="1"/>
        <v>10575322.949999999</v>
      </c>
      <c r="I24" s="970">
        <v>36862098.939999998</v>
      </c>
      <c r="J24" s="970">
        <f t="shared" si="2"/>
        <v>8296022.6500000004</v>
      </c>
      <c r="K24" s="970">
        <v>395322.95</v>
      </c>
      <c r="L24" s="970">
        <f t="shared" si="3"/>
        <v>28170753.34</v>
      </c>
      <c r="N24" s="217"/>
      <c r="O24" s="1"/>
    </row>
    <row r="25" spans="1:15" x14ac:dyDescent="0.2">
      <c r="A25" s="217">
        <v>2343</v>
      </c>
      <c r="B25" s="970" t="s">
        <v>1443</v>
      </c>
      <c r="C25" s="970">
        <v>9513186.8699999992</v>
      </c>
      <c r="D25" s="970">
        <v>9513186.8499999996</v>
      </c>
      <c r="E25" s="970">
        <f t="shared" si="0"/>
        <v>1.9999999552965164E-2</v>
      </c>
      <c r="F25" s="130"/>
      <c r="G25" s="971">
        <v>9513186.870000001</v>
      </c>
      <c r="H25" s="970">
        <f t="shared" si="1"/>
        <v>0</v>
      </c>
      <c r="I25" s="970">
        <v>9513186.8699999992</v>
      </c>
      <c r="J25" s="970">
        <f t="shared" si="2"/>
        <v>9513186.8499999996</v>
      </c>
      <c r="K25" s="970">
        <v>0</v>
      </c>
      <c r="L25" s="970">
        <f t="shared" si="3"/>
        <v>1.9999999552965164E-2</v>
      </c>
      <c r="N25" s="217"/>
      <c r="O25" s="1"/>
    </row>
    <row r="26" spans="1:15" x14ac:dyDescent="0.2">
      <c r="A26" s="217">
        <v>2352</v>
      </c>
      <c r="B26" s="970" t="s">
        <v>16</v>
      </c>
      <c r="C26" s="970">
        <v>7873607</v>
      </c>
      <c r="D26" s="970">
        <v>503095</v>
      </c>
      <c r="E26" s="970">
        <f t="shared" si="0"/>
        <v>7370512</v>
      </c>
      <c r="F26" s="130"/>
      <c r="G26" s="971">
        <v>2873607.63</v>
      </c>
      <c r="H26" s="970">
        <f t="shared" si="1"/>
        <v>2065000</v>
      </c>
      <c r="I26" s="970">
        <v>4938607.63</v>
      </c>
      <c r="J26" s="970">
        <f t="shared" si="2"/>
        <v>503095</v>
      </c>
      <c r="K26" s="970">
        <v>0</v>
      </c>
      <c r="L26" s="970">
        <f t="shared" si="3"/>
        <v>4435512.63</v>
      </c>
      <c r="N26" s="217"/>
      <c r="O26" s="1"/>
    </row>
    <row r="27" spans="1:15" x14ac:dyDescent="0.2">
      <c r="A27" s="217">
        <v>2353</v>
      </c>
      <c r="B27" s="970" t="s">
        <v>2316</v>
      </c>
      <c r="C27" s="970">
        <v>0</v>
      </c>
      <c r="D27" s="970">
        <v>0</v>
      </c>
      <c r="E27" s="970">
        <f t="shared" si="0"/>
        <v>0</v>
      </c>
      <c r="F27" s="130"/>
      <c r="G27" s="971">
        <v>16005.01</v>
      </c>
      <c r="H27" s="970">
        <f t="shared" si="1"/>
        <v>0</v>
      </c>
      <c r="I27" s="970">
        <v>16005.01</v>
      </c>
      <c r="J27" s="970">
        <f t="shared" si="2"/>
        <v>0</v>
      </c>
      <c r="K27" s="970">
        <v>0</v>
      </c>
      <c r="L27" s="970">
        <f t="shared" si="3"/>
        <v>16005.01</v>
      </c>
      <c r="N27" s="217"/>
      <c r="O27" s="1"/>
    </row>
    <row r="28" spans="1:15" x14ac:dyDescent="0.2">
      <c r="A28" s="217">
        <v>2356</v>
      </c>
      <c r="B28" s="970" t="s">
        <v>1308</v>
      </c>
      <c r="C28" s="970">
        <v>94770654</v>
      </c>
      <c r="D28" s="970">
        <v>33304208.850000001</v>
      </c>
      <c r="E28" s="970">
        <f t="shared" si="0"/>
        <v>61466445.149999999</v>
      </c>
      <c r="F28" s="130"/>
      <c r="G28" s="971">
        <v>60587299.170000002</v>
      </c>
      <c r="H28" s="970">
        <f t="shared" si="1"/>
        <v>50000000</v>
      </c>
      <c r="I28" s="970">
        <v>110587299.17</v>
      </c>
      <c r="J28" s="970">
        <f t="shared" si="2"/>
        <v>33304208.850000001</v>
      </c>
      <c r="K28" s="970">
        <v>0</v>
      </c>
      <c r="L28" s="970">
        <f t="shared" si="3"/>
        <v>77283090.319999993</v>
      </c>
      <c r="N28" s="217"/>
      <c r="O28" s="1"/>
    </row>
    <row r="29" spans="1:15" x14ac:dyDescent="0.2">
      <c r="A29" s="217">
        <v>2359</v>
      </c>
      <c r="B29" s="970" t="s">
        <v>1444</v>
      </c>
      <c r="C29" s="970">
        <v>0</v>
      </c>
      <c r="D29" s="970">
        <v>76400</v>
      </c>
      <c r="E29" s="970">
        <f t="shared" si="0"/>
        <v>-76400</v>
      </c>
      <c r="F29" s="130"/>
      <c r="G29" s="971">
        <v>1253574.4099999999</v>
      </c>
      <c r="H29" s="970">
        <f t="shared" si="1"/>
        <v>382000</v>
      </c>
      <c r="I29" s="970">
        <v>1635574.41</v>
      </c>
      <c r="J29" s="970">
        <f t="shared" si="2"/>
        <v>76400</v>
      </c>
      <c r="K29" s="970">
        <v>0</v>
      </c>
      <c r="L29" s="970">
        <f t="shared" si="3"/>
        <v>1559174.41</v>
      </c>
      <c r="N29" s="217"/>
      <c r="O29" s="1"/>
    </row>
    <row r="30" spans="1:15" x14ac:dyDescent="0.2">
      <c r="A30" s="217">
        <v>2367</v>
      </c>
      <c r="B30" s="970" t="s">
        <v>1445</v>
      </c>
      <c r="C30" s="970">
        <v>19468873.219999999</v>
      </c>
      <c r="D30" s="970">
        <v>4013614.92</v>
      </c>
      <c r="E30" s="970">
        <f t="shared" si="0"/>
        <v>15455258.299999999</v>
      </c>
      <c r="F30" s="130"/>
      <c r="G30" s="971">
        <v>6915885.0000000019</v>
      </c>
      <c r="H30" s="970">
        <f t="shared" si="1"/>
        <v>4933499.9999999981</v>
      </c>
      <c r="I30" s="970">
        <v>11849385</v>
      </c>
      <c r="J30" s="970">
        <f t="shared" si="2"/>
        <v>4013614.92</v>
      </c>
      <c r="K30" s="970">
        <v>580000</v>
      </c>
      <c r="L30" s="970">
        <f t="shared" si="3"/>
        <v>7255770.0800000001</v>
      </c>
      <c r="N30" s="217"/>
      <c r="O30" s="1"/>
    </row>
    <row r="31" spans="1:15" x14ac:dyDescent="0.2">
      <c r="A31" s="217">
        <v>2373</v>
      </c>
      <c r="B31" s="970" t="s">
        <v>1827</v>
      </c>
      <c r="C31" s="970">
        <v>0</v>
      </c>
      <c r="D31" s="970">
        <v>0</v>
      </c>
      <c r="E31" s="970">
        <f t="shared" si="0"/>
        <v>0</v>
      </c>
      <c r="F31" s="130"/>
      <c r="G31" s="971">
        <v>6789.52</v>
      </c>
      <c r="H31" s="970">
        <f t="shared" si="1"/>
        <v>0</v>
      </c>
      <c r="I31" s="970">
        <v>6789.52</v>
      </c>
      <c r="J31" s="970">
        <f t="shared" si="2"/>
        <v>0</v>
      </c>
      <c r="K31" s="970">
        <v>0</v>
      </c>
      <c r="L31" s="970">
        <f t="shared" si="3"/>
        <v>6789.52</v>
      </c>
      <c r="N31" s="217"/>
      <c r="O31" s="1"/>
    </row>
    <row r="32" spans="1:15" x14ac:dyDescent="0.2">
      <c r="A32" s="217">
        <v>2374</v>
      </c>
      <c r="B32" s="970" t="s">
        <v>1311</v>
      </c>
      <c r="C32" s="970">
        <v>4200000</v>
      </c>
      <c r="D32" s="970">
        <v>144400</v>
      </c>
      <c r="E32" s="970">
        <f t="shared" si="0"/>
        <v>4055600</v>
      </c>
      <c r="F32" s="130"/>
      <c r="G32" s="971">
        <v>12037787.170000002</v>
      </c>
      <c r="H32" s="970">
        <f t="shared" si="1"/>
        <v>766999.99999999814</v>
      </c>
      <c r="I32" s="970">
        <v>12804787.17</v>
      </c>
      <c r="J32" s="970">
        <f t="shared" si="2"/>
        <v>144400</v>
      </c>
      <c r="K32" s="970">
        <v>0</v>
      </c>
      <c r="L32" s="970">
        <f t="shared" si="3"/>
        <v>12660387.17</v>
      </c>
      <c r="N32" s="217"/>
      <c r="O32" s="1"/>
    </row>
    <row r="33" spans="1:15" x14ac:dyDescent="0.2">
      <c r="A33" s="217">
        <v>2380</v>
      </c>
      <c r="B33" s="970" t="s">
        <v>1446</v>
      </c>
      <c r="C33" s="970">
        <v>0</v>
      </c>
      <c r="D33" s="970">
        <v>0</v>
      </c>
      <c r="E33" s="970">
        <f t="shared" si="0"/>
        <v>0</v>
      </c>
      <c r="F33" s="130"/>
      <c r="G33" s="971">
        <v>59185.77</v>
      </c>
      <c r="H33" s="970">
        <f t="shared" si="1"/>
        <v>0</v>
      </c>
      <c r="I33" s="970">
        <v>59185.77</v>
      </c>
      <c r="J33" s="970">
        <f t="shared" si="2"/>
        <v>0</v>
      </c>
      <c r="K33" s="970">
        <v>0</v>
      </c>
      <c r="L33" s="970">
        <f t="shared" si="3"/>
        <v>59185.77</v>
      </c>
      <c r="N33" s="217"/>
      <c r="O33" s="1"/>
    </row>
    <row r="34" spans="1:15" x14ac:dyDescent="0.2">
      <c r="A34" s="217">
        <v>2382</v>
      </c>
      <c r="B34" s="970" t="s">
        <v>2317</v>
      </c>
      <c r="C34" s="970">
        <v>20001911.420000002</v>
      </c>
      <c r="D34" s="970">
        <v>0</v>
      </c>
      <c r="E34" s="970">
        <f t="shared" si="0"/>
        <v>20001911.420000002</v>
      </c>
      <c r="F34" s="130"/>
      <c r="G34" s="971">
        <v>1911.42</v>
      </c>
      <c r="H34" s="970">
        <f t="shared" si="1"/>
        <v>0</v>
      </c>
      <c r="I34" s="970">
        <v>1911.42</v>
      </c>
      <c r="J34" s="970">
        <f t="shared" si="2"/>
        <v>0</v>
      </c>
      <c r="K34" s="970">
        <v>0</v>
      </c>
      <c r="L34" s="970">
        <f t="shared" si="3"/>
        <v>1911.42</v>
      </c>
      <c r="N34" s="217"/>
      <c r="O34" s="1"/>
    </row>
    <row r="35" spans="1:15" x14ac:dyDescent="0.2">
      <c r="A35" s="217">
        <v>2392</v>
      </c>
      <c r="B35" s="970" t="s">
        <v>1447</v>
      </c>
      <c r="C35" s="970">
        <v>261229.8</v>
      </c>
      <c r="D35" s="970">
        <v>34857.800000000003</v>
      </c>
      <c r="E35" s="970">
        <f t="shared" si="0"/>
        <v>226372</v>
      </c>
      <c r="F35" s="130"/>
      <c r="G35" s="971">
        <v>29374424.399999999</v>
      </c>
      <c r="H35" s="970">
        <f t="shared" si="1"/>
        <v>-29107694.599999998</v>
      </c>
      <c r="I35" s="970">
        <v>266729.8</v>
      </c>
      <c r="J35" s="970">
        <f t="shared" si="2"/>
        <v>34857.800000000003</v>
      </c>
      <c r="K35" s="970">
        <v>261229.8</v>
      </c>
      <c r="L35" s="970">
        <f t="shared" si="3"/>
        <v>-29357.799999999988</v>
      </c>
      <c r="N35" s="217"/>
      <c r="O35" s="1"/>
    </row>
    <row r="36" spans="1:15" x14ac:dyDescent="0.2">
      <c r="A36" s="217">
        <v>2393</v>
      </c>
      <c r="B36" s="970" t="s">
        <v>2318</v>
      </c>
      <c r="C36" s="970">
        <v>6795365.5300000003</v>
      </c>
      <c r="D36" s="970">
        <v>1833424</v>
      </c>
      <c r="E36" s="970">
        <f t="shared" si="0"/>
        <v>4961941.53</v>
      </c>
      <c r="F36" s="130"/>
      <c r="G36" s="971">
        <v>3799365.53</v>
      </c>
      <c r="H36" s="970">
        <f t="shared" si="1"/>
        <v>1805000.0000000005</v>
      </c>
      <c r="I36" s="970">
        <v>5604365.5300000003</v>
      </c>
      <c r="J36" s="970">
        <f t="shared" si="2"/>
        <v>1833424</v>
      </c>
      <c r="K36" s="970">
        <v>0</v>
      </c>
      <c r="L36" s="970">
        <f t="shared" si="3"/>
        <v>3770941.5300000003</v>
      </c>
      <c r="N36" s="217"/>
      <c r="O36" s="1"/>
    </row>
    <row r="37" spans="1:15" x14ac:dyDescent="0.2">
      <c r="A37" s="217">
        <v>2397</v>
      </c>
      <c r="B37" s="970" t="s">
        <v>1627</v>
      </c>
      <c r="C37" s="970">
        <v>4812060.46</v>
      </c>
      <c r="D37" s="970">
        <v>0</v>
      </c>
      <c r="E37" s="970">
        <f t="shared" si="0"/>
        <v>4812060.46</v>
      </c>
      <c r="F37" s="130"/>
      <c r="G37" s="971">
        <v>4812060.46</v>
      </c>
      <c r="H37" s="970">
        <f t="shared" si="1"/>
        <v>0</v>
      </c>
      <c r="I37" s="970">
        <v>4812060.46</v>
      </c>
      <c r="J37" s="970">
        <f t="shared" si="2"/>
        <v>0</v>
      </c>
      <c r="K37" s="970">
        <v>0</v>
      </c>
      <c r="L37" s="970">
        <f t="shared" si="3"/>
        <v>4812060.46</v>
      </c>
      <c r="N37" s="217"/>
      <c r="O37" s="1"/>
    </row>
    <row r="38" spans="1:15" x14ac:dyDescent="0.2">
      <c r="A38" s="217">
        <v>2404</v>
      </c>
      <c r="B38" s="970" t="s">
        <v>1303</v>
      </c>
      <c r="C38" s="970">
        <v>0</v>
      </c>
      <c r="D38" s="970">
        <v>0</v>
      </c>
      <c r="E38" s="970">
        <f t="shared" si="0"/>
        <v>0</v>
      </c>
      <c r="F38" s="130"/>
      <c r="G38" s="971">
        <v>522299</v>
      </c>
      <c r="H38" s="970">
        <f t="shared" si="1"/>
        <v>0</v>
      </c>
      <c r="I38" s="970">
        <v>522299</v>
      </c>
      <c r="J38" s="970">
        <f t="shared" si="2"/>
        <v>0</v>
      </c>
      <c r="K38" s="970">
        <v>0</v>
      </c>
      <c r="L38" s="970">
        <f t="shared" si="3"/>
        <v>522299</v>
      </c>
      <c r="N38" s="217"/>
      <c r="O38" s="1"/>
    </row>
    <row r="39" spans="1:15" x14ac:dyDescent="0.2">
      <c r="A39" s="217">
        <v>2405</v>
      </c>
      <c r="B39" s="970" t="s">
        <v>2319</v>
      </c>
      <c r="C39" s="970">
        <v>0</v>
      </c>
      <c r="D39" s="970">
        <v>2200</v>
      </c>
      <c r="E39" s="970">
        <f t="shared" si="0"/>
        <v>-2200</v>
      </c>
      <c r="F39" s="130"/>
      <c r="G39" s="971">
        <v>528497.02</v>
      </c>
      <c r="H39" s="970">
        <f t="shared" si="1"/>
        <v>0</v>
      </c>
      <c r="I39" s="970">
        <v>528497.02</v>
      </c>
      <c r="J39" s="970">
        <f t="shared" si="2"/>
        <v>2200</v>
      </c>
      <c r="K39" s="970">
        <v>0</v>
      </c>
      <c r="L39" s="970">
        <f t="shared" si="3"/>
        <v>526297.02</v>
      </c>
      <c r="N39" s="217"/>
      <c r="O39" s="1"/>
    </row>
    <row r="40" spans="1:15" x14ac:dyDescent="0.2">
      <c r="A40" s="217" t="s">
        <v>2693</v>
      </c>
      <c r="B40" s="970" t="s">
        <v>2694</v>
      </c>
      <c r="C40" s="970">
        <v>0</v>
      </c>
      <c r="D40" s="970">
        <v>0</v>
      </c>
      <c r="E40" s="970">
        <f t="shared" si="0"/>
        <v>0</v>
      </c>
      <c r="F40" s="130"/>
      <c r="G40" s="971">
        <v>0</v>
      </c>
      <c r="H40" s="970">
        <f t="shared" si="1"/>
        <v>0</v>
      </c>
      <c r="J40" s="970">
        <f t="shared" si="2"/>
        <v>0</v>
      </c>
      <c r="K40" s="970">
        <v>0</v>
      </c>
      <c r="L40" s="970">
        <f t="shared" si="3"/>
        <v>0</v>
      </c>
      <c r="N40" s="217"/>
      <c r="O40" s="1"/>
    </row>
    <row r="41" spans="1:15" x14ac:dyDescent="0.2">
      <c r="A41" s="217">
        <v>2410</v>
      </c>
      <c r="B41" s="970" t="s">
        <v>2320</v>
      </c>
      <c r="C41" s="970">
        <v>0</v>
      </c>
      <c r="D41" s="970">
        <v>25000</v>
      </c>
      <c r="E41" s="970">
        <f t="shared" si="0"/>
        <v>-25000</v>
      </c>
      <c r="F41" s="130"/>
      <c r="G41" s="971">
        <v>828000</v>
      </c>
      <c r="H41" s="970">
        <f t="shared" si="1"/>
        <v>125000</v>
      </c>
      <c r="I41" s="970">
        <v>953000</v>
      </c>
      <c r="J41" s="970">
        <f t="shared" si="2"/>
        <v>25000</v>
      </c>
      <c r="K41" s="970">
        <v>0</v>
      </c>
      <c r="L41" s="970">
        <f t="shared" si="3"/>
        <v>928000</v>
      </c>
      <c r="N41" s="217"/>
      <c r="O41" s="1"/>
    </row>
    <row r="42" spans="1:15" x14ac:dyDescent="0.2">
      <c r="A42" s="217">
        <v>2452</v>
      </c>
      <c r="B42" s="970" t="s">
        <v>602</v>
      </c>
      <c r="C42" s="970">
        <v>0</v>
      </c>
      <c r="D42" s="970">
        <v>2200</v>
      </c>
      <c r="E42" s="970">
        <f t="shared" si="0"/>
        <v>-2200</v>
      </c>
      <c r="F42" s="130"/>
      <c r="G42" s="971">
        <v>945369.37</v>
      </c>
      <c r="H42" s="970">
        <f t="shared" si="1"/>
        <v>0</v>
      </c>
      <c r="I42" s="970">
        <v>945369.37</v>
      </c>
      <c r="J42" s="970">
        <f t="shared" si="2"/>
        <v>2200</v>
      </c>
      <c r="K42" s="970">
        <v>0</v>
      </c>
      <c r="L42" s="970">
        <f t="shared" si="3"/>
        <v>943169.37</v>
      </c>
      <c r="N42" s="217"/>
      <c r="O42" s="1"/>
    </row>
    <row r="43" spans="1:15" x14ac:dyDescent="0.2">
      <c r="A43" s="217">
        <v>2453</v>
      </c>
      <c r="B43" s="970" t="s">
        <v>1448</v>
      </c>
      <c r="C43" s="970">
        <v>0</v>
      </c>
      <c r="D43" s="970">
        <v>0</v>
      </c>
      <c r="E43" s="970">
        <f t="shared" si="0"/>
        <v>0</v>
      </c>
      <c r="F43" s="130"/>
      <c r="G43" s="971">
        <v>143421.05000000005</v>
      </c>
      <c r="H43" s="970">
        <f t="shared" si="1"/>
        <v>0</v>
      </c>
      <c r="I43" s="970">
        <v>143421.04999999999</v>
      </c>
      <c r="J43" s="970">
        <f t="shared" si="2"/>
        <v>0</v>
      </c>
      <c r="K43" s="970">
        <v>0</v>
      </c>
      <c r="L43" s="970">
        <f t="shared" si="3"/>
        <v>143421.04999999999</v>
      </c>
      <c r="N43" s="217"/>
      <c r="O43" s="1"/>
    </row>
    <row r="44" spans="1:15" x14ac:dyDescent="0.2">
      <c r="A44" s="217">
        <v>2456</v>
      </c>
      <c r="B44" s="970" t="s">
        <v>1449</v>
      </c>
      <c r="C44" s="970">
        <v>0</v>
      </c>
      <c r="D44" s="970">
        <v>0</v>
      </c>
      <c r="E44" s="970">
        <f t="shared" si="0"/>
        <v>0</v>
      </c>
      <c r="F44" s="130"/>
      <c r="G44" s="971">
        <v>8031601.8099999996</v>
      </c>
      <c r="H44" s="970">
        <f t="shared" si="1"/>
        <v>0</v>
      </c>
      <c r="I44" s="970">
        <v>8031601.8099999996</v>
      </c>
      <c r="J44" s="970">
        <f t="shared" si="2"/>
        <v>0</v>
      </c>
      <c r="K44" s="970">
        <v>0</v>
      </c>
      <c r="L44" s="970">
        <f t="shared" si="3"/>
        <v>8031601.8099999996</v>
      </c>
      <c r="N44" s="217"/>
      <c r="O44" s="1"/>
    </row>
    <row r="45" spans="1:15" x14ac:dyDescent="0.2">
      <c r="A45" s="217">
        <v>2458</v>
      </c>
      <c r="B45" s="970" t="s">
        <v>164</v>
      </c>
      <c r="C45" s="970">
        <v>6134089.8399999999</v>
      </c>
      <c r="D45" s="970">
        <v>672750</v>
      </c>
      <c r="E45" s="970">
        <f t="shared" si="0"/>
        <v>5461339.8399999999</v>
      </c>
      <c r="F45" s="130"/>
      <c r="G45" s="971">
        <v>6426589.8399999999</v>
      </c>
      <c r="H45" s="970">
        <f t="shared" si="1"/>
        <v>0</v>
      </c>
      <c r="I45" s="970">
        <v>6426589.8399999999</v>
      </c>
      <c r="J45" s="970">
        <f t="shared" si="2"/>
        <v>672750</v>
      </c>
      <c r="K45" s="970">
        <v>0</v>
      </c>
      <c r="L45" s="970">
        <f t="shared" si="3"/>
        <v>5753839.8399999999</v>
      </c>
      <c r="N45" s="217"/>
      <c r="O45" s="1"/>
    </row>
    <row r="46" spans="1:15" x14ac:dyDescent="0.2">
      <c r="A46" s="217">
        <v>2462</v>
      </c>
      <c r="B46" s="970" t="s">
        <v>358</v>
      </c>
      <c r="C46" s="970">
        <v>0</v>
      </c>
      <c r="D46" s="970">
        <v>0</v>
      </c>
      <c r="E46" s="970">
        <f t="shared" si="0"/>
        <v>0</v>
      </c>
      <c r="F46" s="130"/>
      <c r="G46" s="971">
        <v>1503508.4</v>
      </c>
      <c r="H46" s="970">
        <f t="shared" si="1"/>
        <v>0</v>
      </c>
      <c r="I46" s="970">
        <v>1503508.4</v>
      </c>
      <c r="J46" s="970">
        <f t="shared" si="2"/>
        <v>0</v>
      </c>
      <c r="K46" s="970">
        <v>0</v>
      </c>
      <c r="L46" s="970">
        <f t="shared" si="3"/>
        <v>1503508.4</v>
      </c>
      <c r="N46" s="217"/>
      <c r="O46" s="1"/>
    </row>
    <row r="47" spans="1:15" x14ac:dyDescent="0.2">
      <c r="A47" s="217">
        <v>2465</v>
      </c>
      <c r="B47" s="970" t="s">
        <v>1109</v>
      </c>
      <c r="C47" s="970">
        <v>0</v>
      </c>
      <c r="D47" s="970">
        <v>0</v>
      </c>
      <c r="E47" s="970">
        <f t="shared" si="0"/>
        <v>0</v>
      </c>
      <c r="F47" s="130"/>
      <c r="G47" s="971">
        <v>0</v>
      </c>
      <c r="H47" s="970">
        <f t="shared" si="1"/>
        <v>0</v>
      </c>
      <c r="J47" s="970">
        <f t="shared" si="2"/>
        <v>0</v>
      </c>
      <c r="K47" s="970">
        <v>0</v>
      </c>
      <c r="L47" s="970">
        <f t="shared" si="3"/>
        <v>0</v>
      </c>
      <c r="N47" s="217"/>
      <c r="O47" s="1"/>
    </row>
    <row r="48" spans="1:15" x14ac:dyDescent="0.2">
      <c r="A48" s="217">
        <v>2468</v>
      </c>
      <c r="B48" s="970" t="s">
        <v>2321</v>
      </c>
      <c r="C48" s="970">
        <v>0</v>
      </c>
      <c r="D48" s="970">
        <v>0</v>
      </c>
      <c r="E48" s="970">
        <f t="shared" si="0"/>
        <v>0</v>
      </c>
      <c r="F48" s="130"/>
      <c r="G48" s="971">
        <v>2970432.59</v>
      </c>
      <c r="H48" s="970">
        <f t="shared" si="1"/>
        <v>0</v>
      </c>
      <c r="I48" s="970">
        <v>2970432.59</v>
      </c>
      <c r="J48" s="970">
        <f t="shared" si="2"/>
        <v>0</v>
      </c>
      <c r="K48" s="970">
        <v>0</v>
      </c>
      <c r="L48" s="970">
        <f t="shared" si="3"/>
        <v>2970432.59</v>
      </c>
      <c r="N48" s="217"/>
      <c r="O48" s="1"/>
    </row>
    <row r="49" spans="1:16" x14ac:dyDescent="0.2">
      <c r="A49" s="217">
        <v>2477</v>
      </c>
      <c r="B49" s="970" t="s">
        <v>1518</v>
      </c>
      <c r="C49" s="970">
        <v>0</v>
      </c>
      <c r="D49" s="970">
        <v>0</v>
      </c>
      <c r="E49" s="970">
        <f t="shared" si="0"/>
        <v>0</v>
      </c>
      <c r="F49" s="130"/>
      <c r="G49" s="971">
        <v>0</v>
      </c>
      <c r="H49" s="970">
        <f t="shared" si="1"/>
        <v>0</v>
      </c>
      <c r="J49" s="970">
        <f t="shared" si="2"/>
        <v>0</v>
      </c>
      <c r="K49" s="970">
        <v>0</v>
      </c>
      <c r="L49" s="970">
        <f t="shared" si="3"/>
        <v>0</v>
      </c>
      <c r="N49" s="217"/>
      <c r="O49" s="1"/>
    </row>
    <row r="50" spans="1:16" x14ac:dyDescent="0.2">
      <c r="A50" s="217">
        <v>2479</v>
      </c>
      <c r="B50" s="970" t="s">
        <v>1519</v>
      </c>
      <c r="C50" s="970">
        <v>0</v>
      </c>
      <c r="D50" s="970">
        <v>0</v>
      </c>
      <c r="E50" s="970">
        <f t="shared" si="0"/>
        <v>0</v>
      </c>
      <c r="F50" s="130"/>
      <c r="G50" s="971">
        <v>7241994.1699999999</v>
      </c>
      <c r="H50" s="970">
        <f t="shared" si="1"/>
        <v>0</v>
      </c>
      <c r="I50" s="970">
        <v>7241994.1699999999</v>
      </c>
      <c r="J50" s="970">
        <f t="shared" si="2"/>
        <v>0</v>
      </c>
      <c r="K50" s="970">
        <v>0</v>
      </c>
      <c r="L50" s="970">
        <f t="shared" si="3"/>
        <v>7241994.1699999999</v>
      </c>
      <c r="N50" s="217"/>
      <c r="O50" s="1"/>
    </row>
    <row r="51" spans="1:16" x14ac:dyDescent="0.2">
      <c r="A51" s="217" t="s">
        <v>3987</v>
      </c>
      <c r="B51" s="970" t="s">
        <v>3735</v>
      </c>
      <c r="C51" s="970">
        <v>75000000</v>
      </c>
      <c r="D51" s="970">
        <v>0</v>
      </c>
      <c r="E51" s="970">
        <f>C51-D51</f>
        <v>75000000</v>
      </c>
      <c r="F51" s="130"/>
      <c r="G51" s="971">
        <v>0</v>
      </c>
      <c r="H51" s="970">
        <f>I51-G51</f>
        <v>0</v>
      </c>
      <c r="J51" s="970">
        <f t="shared" si="2"/>
        <v>0</v>
      </c>
      <c r="K51" s="970">
        <v>0</v>
      </c>
      <c r="L51" s="970">
        <f>I51-J51-K51</f>
        <v>0</v>
      </c>
      <c r="N51" s="217"/>
      <c r="O51" s="1"/>
    </row>
    <row r="52" spans="1:16" x14ac:dyDescent="0.2">
      <c r="A52" s="217">
        <v>2489</v>
      </c>
      <c r="B52" s="970" t="s">
        <v>1828</v>
      </c>
      <c r="C52" s="970">
        <v>0</v>
      </c>
      <c r="D52" s="970">
        <v>0</v>
      </c>
      <c r="E52" s="970">
        <f t="shared" si="0"/>
        <v>0</v>
      </c>
      <c r="F52" s="130"/>
      <c r="G52" s="971">
        <v>246936</v>
      </c>
      <c r="H52" s="970">
        <f t="shared" si="1"/>
        <v>0</v>
      </c>
      <c r="I52" s="970">
        <v>246936</v>
      </c>
      <c r="J52" s="970">
        <f t="shared" si="2"/>
        <v>0</v>
      </c>
      <c r="K52" s="970">
        <v>0</v>
      </c>
      <c r="L52" s="970">
        <f t="shared" si="3"/>
        <v>246936</v>
      </c>
      <c r="N52" s="217"/>
      <c r="O52" s="1"/>
    </row>
    <row r="53" spans="1:16" x14ac:dyDescent="0.2">
      <c r="A53" s="217">
        <v>2490</v>
      </c>
      <c r="B53" s="970" t="s">
        <v>1694</v>
      </c>
      <c r="C53" s="970">
        <v>0</v>
      </c>
      <c r="D53" s="970">
        <v>0</v>
      </c>
      <c r="E53" s="970">
        <f t="shared" si="0"/>
        <v>0</v>
      </c>
      <c r="F53" s="130"/>
      <c r="G53" s="971">
        <v>675894.43</v>
      </c>
      <c r="H53" s="970">
        <f t="shared" si="1"/>
        <v>0</v>
      </c>
      <c r="I53" s="970">
        <v>675894.43</v>
      </c>
      <c r="J53" s="970">
        <f t="shared" si="2"/>
        <v>0</v>
      </c>
      <c r="K53" s="970">
        <v>0</v>
      </c>
      <c r="L53" s="970">
        <f t="shared" si="3"/>
        <v>675894.43</v>
      </c>
      <c r="N53" s="217"/>
      <c r="O53" s="1"/>
    </row>
    <row r="54" spans="1:16" x14ac:dyDescent="0.2">
      <c r="A54" s="217">
        <v>2494</v>
      </c>
      <c r="B54" s="970" t="s">
        <v>1830</v>
      </c>
      <c r="C54" s="970">
        <v>2393047</v>
      </c>
      <c r="D54" s="970">
        <v>588400</v>
      </c>
      <c r="E54" s="970">
        <f t="shared" si="0"/>
        <v>1804647</v>
      </c>
      <c r="F54" s="130"/>
      <c r="G54" s="971">
        <v>1393047</v>
      </c>
      <c r="H54" s="970">
        <f t="shared" si="1"/>
        <v>2942000</v>
      </c>
      <c r="I54" s="970">
        <v>4335047</v>
      </c>
      <c r="J54" s="970">
        <f t="shared" si="2"/>
        <v>588400</v>
      </c>
      <c r="K54" s="970">
        <v>0</v>
      </c>
      <c r="L54" s="970">
        <f t="shared" si="3"/>
        <v>3746647</v>
      </c>
      <c r="N54" s="217"/>
      <c r="O54" s="1"/>
    </row>
    <row r="55" spans="1:16" x14ac:dyDescent="0.2">
      <c r="A55" s="217">
        <v>2495</v>
      </c>
      <c r="B55" s="970" t="s">
        <v>2695</v>
      </c>
      <c r="C55" s="970">
        <v>18228200</v>
      </c>
      <c r="D55" s="970">
        <v>18228200</v>
      </c>
      <c r="E55" s="970">
        <f t="shared" si="0"/>
        <v>0</v>
      </c>
      <c r="F55" s="130"/>
      <c r="G55" s="971">
        <v>386738.75</v>
      </c>
      <c r="H55" s="970">
        <f t="shared" si="1"/>
        <v>18228200</v>
      </c>
      <c r="I55" s="970">
        <v>18614938.75</v>
      </c>
      <c r="J55" s="970">
        <f t="shared" si="2"/>
        <v>18228200</v>
      </c>
      <c r="K55" s="970">
        <v>0</v>
      </c>
      <c r="L55" s="970">
        <f t="shared" si="3"/>
        <v>386738.75</v>
      </c>
      <c r="N55" s="217"/>
      <c r="O55" s="1"/>
    </row>
    <row r="56" spans="1:16" x14ac:dyDescent="0.2">
      <c r="A56" s="217" t="s">
        <v>3988</v>
      </c>
      <c r="B56" s="970" t="s">
        <v>3989</v>
      </c>
      <c r="C56" s="970">
        <v>0</v>
      </c>
      <c r="D56" s="970">
        <v>657696.76</v>
      </c>
      <c r="E56" s="970">
        <f>C56-D56</f>
        <v>-657696.76</v>
      </c>
      <c r="F56" s="130"/>
      <c r="G56" s="971">
        <v>0</v>
      </c>
      <c r="H56" s="970">
        <f>I56-G56</f>
        <v>3288483.72</v>
      </c>
      <c r="I56" s="970">
        <v>3288483.72</v>
      </c>
      <c r="J56" s="970">
        <f t="shared" si="2"/>
        <v>657696.76</v>
      </c>
      <c r="K56" s="970">
        <v>0</v>
      </c>
      <c r="L56" s="970">
        <v>2630786.96</v>
      </c>
      <c r="N56" s="217"/>
      <c r="O56" s="1"/>
    </row>
    <row r="57" spans="1:16" x14ac:dyDescent="0.2">
      <c r="F57" s="130"/>
      <c r="N57" s="217"/>
      <c r="P57" s="218"/>
    </row>
    <row r="58" spans="1:16" x14ac:dyDescent="0.2">
      <c r="F58" s="130"/>
      <c r="N58" s="217"/>
      <c r="P58" s="218"/>
    </row>
    <row r="59" spans="1:16" s="973" customFormat="1" ht="15" x14ac:dyDescent="0.25">
      <c r="A59" s="972"/>
      <c r="B59" s="973" t="s">
        <v>1024</v>
      </c>
      <c r="C59" s="973">
        <f>SUM(C3:C58)</f>
        <v>860620197.23000014</v>
      </c>
      <c r="D59" s="973">
        <f>SUM(D3:D58)</f>
        <v>220694744.88</v>
      </c>
      <c r="E59" s="973">
        <f>SUM(E3:E58)</f>
        <v>639925452.35000002</v>
      </c>
      <c r="F59" s="220"/>
      <c r="G59" s="974">
        <f t="shared" ref="G59:L59" si="4">SUM(G3:G58)</f>
        <v>415845148.01999986</v>
      </c>
      <c r="H59" s="973">
        <f t="shared" si="4"/>
        <v>261924893.23999998</v>
      </c>
      <c r="I59" s="973">
        <f t="shared" si="4"/>
        <v>677770041.25999963</v>
      </c>
      <c r="J59" s="973">
        <f t="shared" si="4"/>
        <v>220694744.88</v>
      </c>
      <c r="K59" s="973">
        <f t="shared" si="4"/>
        <v>23071497.770000003</v>
      </c>
      <c r="L59" s="973">
        <f t="shared" si="4"/>
        <v>434003798.60999978</v>
      </c>
      <c r="N59" s="972"/>
      <c r="P59" s="975"/>
    </row>
    <row r="60" spans="1:16" ht="15" x14ac:dyDescent="0.25">
      <c r="B60" s="219"/>
      <c r="C60" s="973"/>
      <c r="D60" s="973"/>
      <c r="E60" s="973"/>
      <c r="F60" s="130"/>
      <c r="G60" s="974"/>
      <c r="H60" s="973"/>
      <c r="I60" s="973"/>
      <c r="J60" s="973"/>
      <c r="K60" s="973"/>
      <c r="L60" s="973"/>
      <c r="N60" s="217"/>
      <c r="P60" s="218"/>
    </row>
    <row r="61" spans="1:16" x14ac:dyDescent="0.2">
      <c r="A61" s="217">
        <v>2000</v>
      </c>
      <c r="B61" s="970" t="s">
        <v>837</v>
      </c>
      <c r="C61" s="970">
        <v>3605951.35</v>
      </c>
      <c r="D61" s="970">
        <v>0</v>
      </c>
      <c r="E61" s="970">
        <f>C61-D61</f>
        <v>3605951.35</v>
      </c>
      <c r="F61" s="130"/>
      <c r="G61" s="971">
        <v>0</v>
      </c>
      <c r="H61" s="970">
        <v>0</v>
      </c>
      <c r="I61" s="970">
        <v>0</v>
      </c>
      <c r="J61" s="970">
        <f>D61</f>
        <v>0</v>
      </c>
      <c r="K61" s="970">
        <v>0</v>
      </c>
      <c r="L61" s="970">
        <v>0</v>
      </c>
      <c r="N61" s="217"/>
      <c r="P61" s="218"/>
    </row>
    <row r="62" spans="1:16" x14ac:dyDescent="0.2">
      <c r="A62" s="217">
        <v>2300</v>
      </c>
      <c r="B62" s="970" t="s">
        <v>242</v>
      </c>
      <c r="C62" s="970">
        <v>-14226148.58</v>
      </c>
      <c r="D62" s="970">
        <v>0</v>
      </c>
      <c r="E62" s="970">
        <f>C62-D62</f>
        <v>-14226148.58</v>
      </c>
      <c r="F62" s="130"/>
      <c r="G62" s="971">
        <v>0</v>
      </c>
      <c r="H62" s="970">
        <v>0</v>
      </c>
      <c r="I62" s="970">
        <v>0</v>
      </c>
      <c r="J62" s="970">
        <f>D62</f>
        <v>0</v>
      </c>
      <c r="K62" s="970">
        <v>0</v>
      </c>
      <c r="L62" s="970">
        <v>0</v>
      </c>
      <c r="N62" s="217"/>
      <c r="P62" s="218"/>
    </row>
    <row r="63" spans="1:16" x14ac:dyDescent="0.2">
      <c r="F63" s="130"/>
      <c r="N63" s="217"/>
      <c r="P63" s="218"/>
    </row>
    <row r="64" spans="1:16" ht="15" x14ac:dyDescent="0.25">
      <c r="B64" s="973" t="s">
        <v>1025</v>
      </c>
      <c r="C64" s="973">
        <f>C61+C62</f>
        <v>-10620197.23</v>
      </c>
      <c r="F64" s="130"/>
      <c r="N64" s="217"/>
      <c r="P64" s="218"/>
    </row>
    <row r="65" spans="1:16" ht="12.75" customHeight="1" thickBot="1" x14ac:dyDescent="0.3">
      <c r="B65" s="976"/>
      <c r="C65" s="976"/>
      <c r="F65" s="130"/>
      <c r="N65" s="217"/>
      <c r="P65" s="218"/>
    </row>
    <row r="66" spans="1:16" ht="12.75" customHeight="1" x14ac:dyDescent="0.2">
      <c r="F66" s="130"/>
      <c r="N66" s="217"/>
      <c r="P66" s="218"/>
    </row>
    <row r="67" spans="1:16" s="973" customFormat="1" ht="12.75" customHeight="1" x14ac:dyDescent="0.25">
      <c r="A67" s="972"/>
      <c r="B67" s="973" t="s">
        <v>53</v>
      </c>
      <c r="C67" s="973">
        <f>C59+C64</f>
        <v>850000000.00000012</v>
      </c>
      <c r="D67" s="973">
        <f>D59+D64</f>
        <v>220694744.88</v>
      </c>
      <c r="E67" s="973">
        <f>C67-D67</f>
        <v>629305255.12000012</v>
      </c>
      <c r="F67" s="220"/>
      <c r="G67" s="974">
        <f t="shared" ref="G67:L67" si="5">G59</f>
        <v>415845148.01999986</v>
      </c>
      <c r="H67" s="973">
        <f t="shared" si="5"/>
        <v>261924893.23999998</v>
      </c>
      <c r="I67" s="973">
        <f t="shared" si="5"/>
        <v>677770041.25999963</v>
      </c>
      <c r="J67" s="973">
        <f t="shared" si="5"/>
        <v>220694744.88</v>
      </c>
      <c r="K67" s="973">
        <f t="shared" si="5"/>
        <v>23071497.770000003</v>
      </c>
      <c r="L67" s="973">
        <f t="shared" si="5"/>
        <v>434003798.60999978</v>
      </c>
      <c r="N67" s="972"/>
      <c r="P67" s="975"/>
    </row>
    <row r="68" spans="1:16" s="178" customFormat="1" ht="12.75" customHeight="1" thickBot="1" x14ac:dyDescent="0.3">
      <c r="A68" s="131"/>
      <c r="B68" s="977"/>
      <c r="C68" s="976"/>
      <c r="D68" s="976"/>
      <c r="E68" s="976"/>
      <c r="F68" s="130"/>
      <c r="G68" s="976"/>
      <c r="H68" s="976"/>
      <c r="I68" s="976"/>
      <c r="J68" s="976"/>
      <c r="K68" s="976"/>
      <c r="L68" s="976"/>
    </row>
    <row r="69" spans="1:16" ht="12.75" customHeight="1" x14ac:dyDescent="0.2">
      <c r="N69" s="217"/>
      <c r="P69" s="218"/>
    </row>
    <row r="70" spans="1:16" s="178" customFormat="1" ht="12.75" customHeight="1" x14ac:dyDescent="0.25">
      <c r="A70" s="1"/>
      <c r="B70" s="970"/>
      <c r="C70" s="3"/>
      <c r="D70" s="3"/>
      <c r="E70" s="3"/>
      <c r="F70" s="3"/>
      <c r="G70" s="3"/>
      <c r="H70" s="3"/>
      <c r="I70" s="736" t="s">
        <v>251</v>
      </c>
      <c r="J70" s="973"/>
      <c r="K70" s="973"/>
      <c r="L70" s="973">
        <f>+L67</f>
        <v>434003798.60999978</v>
      </c>
    </row>
    <row r="71" spans="1:16" s="178" customFormat="1" ht="12.75" customHeight="1" x14ac:dyDescent="0.2">
      <c r="A71" s="1"/>
      <c r="B71" s="21"/>
      <c r="C71" s="3"/>
      <c r="D71" s="3"/>
      <c r="E71" s="3"/>
      <c r="F71" s="3"/>
      <c r="G71" s="3"/>
      <c r="H71" s="970"/>
      <c r="I71" s="736"/>
      <c r="J71" s="19"/>
      <c r="K71" s="20"/>
      <c r="L71" s="19"/>
    </row>
    <row r="72" spans="1:16" s="178" customFormat="1" ht="12.75" customHeight="1" x14ac:dyDescent="0.2">
      <c r="A72" s="1"/>
      <c r="B72" s="21"/>
      <c r="C72" s="3"/>
      <c r="D72" s="3"/>
      <c r="E72" s="3"/>
      <c r="F72" s="3"/>
      <c r="G72" s="3"/>
      <c r="H72" s="3"/>
      <c r="I72" s="736" t="s">
        <v>3578</v>
      </c>
      <c r="J72" s="978"/>
      <c r="K72" s="970"/>
      <c r="L72" s="733">
        <f>+K67</f>
        <v>23071497.770000003</v>
      </c>
    </row>
    <row r="73" spans="1:16" s="178" customFormat="1" ht="12.75" customHeight="1" x14ac:dyDescent="0.2">
      <c r="A73" s="1"/>
      <c r="C73" s="3"/>
      <c r="D73" s="3"/>
      <c r="E73" s="3"/>
      <c r="F73" s="3"/>
      <c r="G73" s="3"/>
      <c r="H73" s="3"/>
      <c r="I73" s="970"/>
      <c r="J73" s="19"/>
      <c r="K73" s="19"/>
      <c r="L73" s="19"/>
    </row>
    <row r="74" spans="1:16" s="178" customFormat="1" ht="13.5" thickBot="1" x14ac:dyDescent="0.25">
      <c r="A74" s="1"/>
      <c r="C74" s="3"/>
      <c r="D74" s="3"/>
      <c r="E74" s="3"/>
      <c r="F74" s="3"/>
      <c r="G74" s="3"/>
      <c r="H74" s="3"/>
      <c r="I74" s="736" t="s">
        <v>4173</v>
      </c>
      <c r="J74" s="19"/>
      <c r="K74" s="970"/>
      <c r="L74" s="734">
        <f>+L70+L72</f>
        <v>457075296.37999976</v>
      </c>
    </row>
    <row r="75" spans="1:16" s="178" customFormat="1" ht="13.5" thickTop="1" x14ac:dyDescent="0.2">
      <c r="A75" s="1"/>
      <c r="C75" s="3"/>
      <c r="D75" s="3"/>
      <c r="E75" s="3"/>
      <c r="F75" s="3"/>
      <c r="G75" s="3"/>
      <c r="H75" s="3"/>
      <c r="I75" s="3"/>
      <c r="J75" s="3"/>
      <c r="K75" s="3"/>
      <c r="L75" s="3"/>
    </row>
    <row r="76" spans="1:16" s="178" customFormat="1" x14ac:dyDescent="0.2">
      <c r="A76" s="1"/>
      <c r="C76" s="3"/>
      <c r="D76" s="3"/>
      <c r="E76" s="3"/>
      <c r="F76" s="3"/>
      <c r="G76" s="3"/>
      <c r="H76" s="3"/>
      <c r="I76" s="3"/>
      <c r="J76" s="3"/>
      <c r="K76" s="3"/>
      <c r="L76" s="3"/>
    </row>
    <row r="77" spans="1:16" s="178" customFormat="1" x14ac:dyDescent="0.2">
      <c r="A77" s="1"/>
      <c r="C77" s="3"/>
      <c r="D77" s="3"/>
      <c r="E77" s="3"/>
      <c r="F77" s="3"/>
      <c r="G77" s="3"/>
      <c r="H77" s="3"/>
      <c r="I77" s="3"/>
      <c r="J77" s="3"/>
      <c r="K77" s="3"/>
      <c r="L77" s="3"/>
    </row>
    <row r="78" spans="1:16" x14ac:dyDescent="0.2">
      <c r="L78" s="970" t="s">
        <v>468</v>
      </c>
      <c r="N78" s="217"/>
      <c r="P78" s="218"/>
    </row>
    <row r="79" spans="1:16" x14ac:dyDescent="0.2">
      <c r="L79" s="970" t="s">
        <v>468</v>
      </c>
      <c r="N79" s="217"/>
      <c r="P79" s="218"/>
    </row>
    <row r="80" spans="1:16" x14ac:dyDescent="0.2">
      <c r="L80" s="970" t="s">
        <v>468</v>
      </c>
      <c r="N80" s="217"/>
      <c r="P80" s="218"/>
    </row>
    <row r="81" spans="14:16" ht="19.5" customHeight="1" x14ac:dyDescent="0.2">
      <c r="N81" s="217"/>
      <c r="P81" s="218"/>
    </row>
    <row r="82" spans="14:16" x14ac:dyDescent="0.2">
      <c r="N82" s="217"/>
      <c r="P82" s="218"/>
    </row>
    <row r="83" spans="14:16" x14ac:dyDescent="0.2">
      <c r="N83" s="217"/>
      <c r="P83" s="218"/>
    </row>
    <row r="84" spans="14:16" x14ac:dyDescent="0.2">
      <c r="N84" s="217"/>
      <c r="P84" s="218"/>
    </row>
    <row r="85" spans="14:16" x14ac:dyDescent="0.2">
      <c r="N85" s="217"/>
      <c r="P85" s="218"/>
    </row>
    <row r="86" spans="14:16" x14ac:dyDescent="0.2">
      <c r="N86" s="217"/>
      <c r="P86" s="218"/>
    </row>
    <row r="87" spans="14:16" ht="18" customHeight="1" x14ac:dyDescent="0.2">
      <c r="N87" s="217"/>
      <c r="P87" s="218"/>
    </row>
    <row r="88" spans="14:16" x14ac:dyDescent="0.2">
      <c r="N88" s="217"/>
      <c r="P88" s="218"/>
    </row>
    <row r="89" spans="14:16" x14ac:dyDescent="0.2">
      <c r="N89" s="217"/>
      <c r="P89" s="218"/>
    </row>
    <row r="90" spans="14:16" x14ac:dyDescent="0.2">
      <c r="N90" s="217"/>
      <c r="P90" s="218"/>
    </row>
    <row r="91" spans="14:16" x14ac:dyDescent="0.2">
      <c r="N91" s="217"/>
      <c r="P91" s="218"/>
    </row>
    <row r="92" spans="14:16" x14ac:dyDescent="0.2">
      <c r="N92" s="217"/>
      <c r="P92" s="218"/>
    </row>
    <row r="93" spans="14:16" x14ac:dyDescent="0.2">
      <c r="N93" s="217"/>
      <c r="P93" s="218"/>
    </row>
    <row r="94" spans="14:16" x14ac:dyDescent="0.2">
      <c r="N94" s="217"/>
      <c r="P94" s="218"/>
    </row>
    <row r="95" spans="14:16" x14ac:dyDescent="0.2">
      <c r="N95" s="217"/>
      <c r="P95" s="218"/>
    </row>
    <row r="96" spans="14:16" x14ac:dyDescent="0.2">
      <c r="N96" s="217"/>
      <c r="P96" s="218"/>
    </row>
    <row r="97" spans="14:16" x14ac:dyDescent="0.2">
      <c r="N97" s="217"/>
      <c r="P97" s="218"/>
    </row>
    <row r="98" spans="14:16" x14ac:dyDescent="0.2">
      <c r="N98" s="217"/>
      <c r="P98" s="218"/>
    </row>
    <row r="99" spans="14:16" x14ac:dyDescent="0.2">
      <c r="N99" s="217"/>
      <c r="P99" s="218"/>
    </row>
    <row r="100" spans="14:16" x14ac:dyDescent="0.2">
      <c r="N100" s="217"/>
      <c r="P100" s="218"/>
    </row>
    <row r="101" spans="14:16" x14ac:dyDescent="0.2">
      <c r="N101" s="217"/>
      <c r="P101" s="218"/>
    </row>
    <row r="102" spans="14:16" x14ac:dyDescent="0.2">
      <c r="N102" s="217"/>
      <c r="P102" s="218"/>
    </row>
    <row r="103" spans="14:16" x14ac:dyDescent="0.2">
      <c r="N103" s="217"/>
      <c r="P103" s="218"/>
    </row>
    <row r="104" spans="14:16" x14ac:dyDescent="0.2">
      <c r="N104" s="217"/>
      <c r="P104" s="218"/>
    </row>
    <row r="105" spans="14:16" x14ac:dyDescent="0.2">
      <c r="N105" s="217"/>
      <c r="P105" s="218"/>
    </row>
    <row r="106" spans="14:16" x14ac:dyDescent="0.2">
      <c r="N106" s="217"/>
      <c r="P106" s="218"/>
    </row>
    <row r="107" spans="14:16" x14ac:dyDescent="0.2">
      <c r="N107" s="217"/>
      <c r="P107" s="218"/>
    </row>
    <row r="108" spans="14:16" x14ac:dyDescent="0.2">
      <c r="N108" s="217"/>
      <c r="P108" s="218"/>
    </row>
    <row r="109" spans="14:16" x14ac:dyDescent="0.2">
      <c r="N109" s="217"/>
      <c r="P109" s="218"/>
    </row>
    <row r="110" spans="14:16" x14ac:dyDescent="0.2">
      <c r="N110" s="217"/>
      <c r="P110" s="218"/>
    </row>
    <row r="111" spans="14:16" x14ac:dyDescent="0.2">
      <c r="N111" s="217"/>
      <c r="P111" s="218"/>
    </row>
    <row r="112" spans="14:16" x14ac:dyDescent="0.2">
      <c r="N112" s="217"/>
      <c r="P112" s="218"/>
    </row>
    <row r="113" spans="14:16" x14ac:dyDescent="0.2">
      <c r="N113" s="217"/>
      <c r="P113" s="218"/>
    </row>
    <row r="114" spans="14:16" x14ac:dyDescent="0.2">
      <c r="N114" s="217"/>
      <c r="P114" s="218"/>
    </row>
    <row r="115" spans="14:16" x14ac:dyDescent="0.2">
      <c r="N115" s="217"/>
      <c r="P115" s="218"/>
    </row>
    <row r="116" spans="14:16" x14ac:dyDescent="0.2">
      <c r="N116" s="217"/>
      <c r="P116" s="218"/>
    </row>
    <row r="117" spans="14:16" x14ac:dyDescent="0.2">
      <c r="N117" s="217"/>
      <c r="P117" s="218"/>
    </row>
    <row r="118" spans="14:16" x14ac:dyDescent="0.2">
      <c r="N118" s="217"/>
      <c r="P118" s="218"/>
    </row>
    <row r="119" spans="14:16" x14ac:dyDescent="0.2">
      <c r="N119" s="217"/>
      <c r="P119" s="218"/>
    </row>
    <row r="120" spans="14:16" x14ac:dyDescent="0.2">
      <c r="N120" s="217"/>
      <c r="P120" s="218"/>
    </row>
    <row r="121" spans="14:16" x14ac:dyDescent="0.2">
      <c r="N121" s="217"/>
      <c r="P121" s="218"/>
    </row>
    <row r="122" spans="14:16" x14ac:dyDescent="0.2">
      <c r="N122" s="217"/>
      <c r="P122" s="218"/>
    </row>
    <row r="123" spans="14:16" x14ac:dyDescent="0.2">
      <c r="N123" s="217"/>
      <c r="P123" s="218"/>
    </row>
    <row r="124" spans="14:16" x14ac:dyDescent="0.2">
      <c r="N124" s="217"/>
      <c r="P124" s="218"/>
    </row>
    <row r="125" spans="14:16" x14ac:dyDescent="0.2">
      <c r="N125" s="217"/>
      <c r="P125" s="218"/>
    </row>
    <row r="126" spans="14:16" x14ac:dyDescent="0.2">
      <c r="N126" s="217"/>
      <c r="P126" s="218"/>
    </row>
    <row r="127" spans="14:16" x14ac:dyDescent="0.2">
      <c r="N127" s="217"/>
      <c r="P127" s="218"/>
    </row>
    <row r="128" spans="14:16" x14ac:dyDescent="0.2">
      <c r="N128" s="217"/>
      <c r="P128" s="218"/>
    </row>
    <row r="129" spans="14:16" x14ac:dyDescent="0.2">
      <c r="N129" s="217"/>
      <c r="P129" s="218"/>
    </row>
    <row r="130" spans="14:16" x14ac:dyDescent="0.2">
      <c r="N130" s="217"/>
      <c r="P130" s="218"/>
    </row>
    <row r="131" spans="14:16" x14ac:dyDescent="0.2">
      <c r="N131" s="217"/>
      <c r="P131" s="218"/>
    </row>
    <row r="132" spans="14:16" x14ac:dyDescent="0.2">
      <c r="N132" s="217"/>
      <c r="P132" s="218"/>
    </row>
    <row r="133" spans="14:16" x14ac:dyDescent="0.2">
      <c r="N133" s="217"/>
      <c r="P133" s="218"/>
    </row>
    <row r="134" spans="14:16" x14ac:dyDescent="0.2">
      <c r="N134" s="217"/>
      <c r="P134" s="218"/>
    </row>
    <row r="135" spans="14:16" x14ac:dyDescent="0.2">
      <c r="N135" s="217"/>
      <c r="P135" s="218"/>
    </row>
    <row r="136" spans="14:16" x14ac:dyDescent="0.2">
      <c r="N136" s="217"/>
      <c r="P136" s="218"/>
    </row>
    <row r="137" spans="14:16" x14ac:dyDescent="0.2">
      <c r="N137" s="217"/>
      <c r="P137" s="218"/>
    </row>
    <row r="138" spans="14:16" x14ac:dyDescent="0.2">
      <c r="N138" s="217"/>
      <c r="P138" s="218"/>
    </row>
    <row r="139" spans="14:16" x14ac:dyDescent="0.2">
      <c r="N139" s="217"/>
      <c r="P139" s="218"/>
    </row>
    <row r="140" spans="14:16" x14ac:dyDescent="0.2">
      <c r="N140" s="217"/>
      <c r="P140" s="218"/>
    </row>
    <row r="141" spans="14:16" x14ac:dyDescent="0.2">
      <c r="N141" s="217"/>
      <c r="P141" s="218"/>
    </row>
    <row r="142" spans="14:16" x14ac:dyDescent="0.2">
      <c r="N142" s="217"/>
      <c r="P142" s="218"/>
    </row>
    <row r="143" spans="14:16" x14ac:dyDescent="0.2">
      <c r="N143" s="217"/>
      <c r="P143" s="218"/>
    </row>
    <row r="144" spans="14:16" x14ac:dyDescent="0.2">
      <c r="N144" s="217"/>
      <c r="P144" s="218"/>
    </row>
    <row r="145" spans="14:16" x14ac:dyDescent="0.2">
      <c r="N145" s="217"/>
      <c r="P145" s="218"/>
    </row>
    <row r="146" spans="14:16" x14ac:dyDescent="0.2">
      <c r="N146" s="217"/>
      <c r="P146" s="218"/>
    </row>
    <row r="147" spans="14:16" x14ac:dyDescent="0.2">
      <c r="N147" s="217"/>
      <c r="P147" s="218"/>
    </row>
    <row r="148" spans="14:16" x14ac:dyDescent="0.2">
      <c r="N148" s="217"/>
      <c r="P148" s="218"/>
    </row>
    <row r="149" spans="14:16" x14ac:dyDescent="0.2">
      <c r="N149" s="217"/>
      <c r="P149" s="218"/>
    </row>
    <row r="150" spans="14:16" x14ac:dyDescent="0.2">
      <c r="N150" s="217"/>
      <c r="P150" s="218"/>
    </row>
    <row r="151" spans="14:16" x14ac:dyDescent="0.2">
      <c r="N151" s="217"/>
      <c r="P151" s="218"/>
    </row>
    <row r="152" spans="14:16" x14ac:dyDescent="0.2">
      <c r="N152" s="217"/>
      <c r="P152" s="218"/>
    </row>
    <row r="153" spans="14:16" x14ac:dyDescent="0.2">
      <c r="N153" s="217"/>
      <c r="P153" s="218"/>
    </row>
    <row r="154" spans="14:16" x14ac:dyDescent="0.2">
      <c r="N154" s="217"/>
      <c r="P154" s="218"/>
    </row>
    <row r="155" spans="14:16" x14ac:dyDescent="0.2">
      <c r="N155" s="217"/>
      <c r="P155" s="218"/>
    </row>
    <row r="156" spans="14:16" x14ac:dyDescent="0.2">
      <c r="N156" s="217"/>
    </row>
    <row r="157" spans="14:16" x14ac:dyDescent="0.2">
      <c r="N157" s="217"/>
    </row>
    <row r="158" spans="14:16" x14ac:dyDescent="0.2">
      <c r="N158" s="217"/>
    </row>
    <row r="159" spans="14:16" x14ac:dyDescent="0.2">
      <c r="N159" s="217"/>
    </row>
    <row r="160" spans="14:16" x14ac:dyDescent="0.2">
      <c r="N160" s="217"/>
    </row>
    <row r="161" spans="14:14" x14ac:dyDescent="0.2">
      <c r="N161" s="217"/>
    </row>
    <row r="162" spans="14:14" x14ac:dyDescent="0.2">
      <c r="N162" s="217"/>
    </row>
    <row r="163" spans="14:14" x14ac:dyDescent="0.2">
      <c r="N163" s="217"/>
    </row>
    <row r="164" spans="14:14" x14ac:dyDescent="0.2">
      <c r="N164" s="217"/>
    </row>
  </sheetData>
  <mergeCells count="2">
    <mergeCell ref="A1:F1"/>
    <mergeCell ref="G1:L1"/>
  </mergeCells>
  <phoneticPr fontId="0" type="noConversion"/>
  <pageMargins left="0.9055118110236221" right="0" top="1.6141732283464567" bottom="1.1417322834645669" header="0.55118110236220474" footer="0.31496062992125984"/>
  <pageSetup paperSize="9" scale="57" fitToHeight="0" orientation="landscape" r:id="rId1"/>
  <headerFooter alignWithMargins="0">
    <oddHeader>&amp;C&amp;"Arial,Negrita"&amp;11UNIVERSIDAD DE COSTA RICA
VICERRECTORÍA DE AMINISTRACIÓN
OFICINA DE ADMINISTRACIÓN FINANCIERA
ESTADO GENERAL POR UNIDADES
PROYECTOS DE VÍNCULO EXTERNO
CURSOS ESPECIALES
Al 30 de junio de 2017
Expresado en colones</oddHeader>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9"/>
  <sheetViews>
    <sheetView workbookViewId="0">
      <selection activeCell="C11" sqref="C11"/>
    </sheetView>
  </sheetViews>
  <sheetFormatPr baseColWidth="10" defaultRowHeight="12.75" x14ac:dyDescent="0.2"/>
  <sheetData>
    <row r="19" spans="1:1" x14ac:dyDescent="0.2">
      <c r="A19" s="2"/>
    </row>
  </sheetData>
  <phoneticPr fontId="20" type="noConversion"/>
  <printOptions horizontalCentered="1" verticalCentered="1"/>
  <pageMargins left="1.1811023622047245" right="0.78740157480314965" top="0" bottom="0.98425196850393704" header="0" footer="0"/>
  <pageSetup paperSize="9" scale="95"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F12" sqref="F12"/>
    </sheetView>
  </sheetViews>
  <sheetFormatPr baseColWidth="10" defaultRowHeight="12.75" x14ac:dyDescent="0.2"/>
  <sheetData/>
  <phoneticPr fontId="20" type="noConversion"/>
  <printOptions horizontalCentered="1" verticalCentered="1"/>
  <pageMargins left="1.1811023622047245" right="0.78740157480314965" top="0" bottom="0.98425196850393704" header="0" footer="0"/>
  <pageSetup paperSize="9" scale="95"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53"/>
  <sheetViews>
    <sheetView topLeftCell="A8" workbookViewId="0">
      <selection activeCell="G18" sqref="G18:G19"/>
    </sheetView>
  </sheetViews>
  <sheetFormatPr baseColWidth="10" defaultRowHeight="14.25" x14ac:dyDescent="0.2"/>
  <cols>
    <col min="1" max="1" width="55.140625" style="5" customWidth="1"/>
    <col min="2" max="2" width="2.5703125" style="5" customWidth="1"/>
    <col min="3" max="3" width="23.140625" style="13" customWidth="1"/>
    <col min="4" max="4" width="6.28515625" style="957" customWidth="1"/>
    <col min="5" max="5" width="9" style="794" customWidth="1"/>
    <col min="6" max="251" width="11.42578125" style="5"/>
    <col min="252" max="252" width="24.5703125" style="5" customWidth="1"/>
    <col min="253" max="253" width="7.5703125" style="5" customWidth="1"/>
    <col min="254" max="254" width="20.42578125" style="5" customWidth="1"/>
    <col min="255" max="255" width="2.5703125" style="5" customWidth="1"/>
    <col min="256" max="256" width="18.42578125" style="5" customWidth="1"/>
    <col min="257" max="257" width="10.7109375" style="5" bestFit="1" customWidth="1"/>
    <col min="258" max="258" width="4.140625" style="5" customWidth="1"/>
    <col min="259" max="259" width="18.28515625" style="5" customWidth="1"/>
    <col min="260" max="260" width="3" style="5" customWidth="1"/>
    <col min="261" max="507" width="11.42578125" style="5"/>
    <col min="508" max="508" width="24.5703125" style="5" customWidth="1"/>
    <col min="509" max="509" width="7.5703125" style="5" customWidth="1"/>
    <col min="510" max="510" width="20.42578125" style="5" customWidth="1"/>
    <col min="511" max="511" width="2.5703125" style="5" customWidth="1"/>
    <col min="512" max="512" width="18.42578125" style="5" customWidth="1"/>
    <col min="513" max="513" width="10.7109375" style="5" bestFit="1" customWidth="1"/>
    <col min="514" max="514" width="4.140625" style="5" customWidth="1"/>
    <col min="515" max="515" width="18.28515625" style="5" customWidth="1"/>
    <col min="516" max="516" width="3" style="5" customWidth="1"/>
    <col min="517" max="763" width="11.42578125" style="5"/>
    <col min="764" max="764" width="24.5703125" style="5" customWidth="1"/>
    <col min="765" max="765" width="7.5703125" style="5" customWidth="1"/>
    <col min="766" max="766" width="20.42578125" style="5" customWidth="1"/>
    <col min="767" max="767" width="2.5703125" style="5" customWidth="1"/>
    <col min="768" max="768" width="18.42578125" style="5" customWidth="1"/>
    <col min="769" max="769" width="10.7109375" style="5" bestFit="1" customWidth="1"/>
    <col min="770" max="770" width="4.140625" style="5" customWidth="1"/>
    <col min="771" max="771" width="18.28515625" style="5" customWidth="1"/>
    <col min="772" max="772" width="3" style="5" customWidth="1"/>
    <col min="773" max="1019" width="11.42578125" style="5"/>
    <col min="1020" max="1020" width="24.5703125" style="5" customWidth="1"/>
    <col min="1021" max="1021" width="7.5703125" style="5" customWidth="1"/>
    <col min="1022" max="1022" width="20.42578125" style="5" customWidth="1"/>
    <col min="1023" max="1023" width="2.5703125" style="5" customWidth="1"/>
    <col min="1024" max="1024" width="18.42578125" style="5" customWidth="1"/>
    <col min="1025" max="1025" width="10.7109375" style="5" bestFit="1" customWidth="1"/>
    <col min="1026" max="1026" width="4.140625" style="5" customWidth="1"/>
    <col min="1027" max="1027" width="18.28515625" style="5" customWidth="1"/>
    <col min="1028" max="1028" width="3" style="5" customWidth="1"/>
    <col min="1029" max="1275" width="11.42578125" style="5"/>
    <col min="1276" max="1276" width="24.5703125" style="5" customWidth="1"/>
    <col min="1277" max="1277" width="7.5703125" style="5" customWidth="1"/>
    <col min="1278" max="1278" width="20.42578125" style="5" customWidth="1"/>
    <col min="1279" max="1279" width="2.5703125" style="5" customWidth="1"/>
    <col min="1280" max="1280" width="18.42578125" style="5" customWidth="1"/>
    <col min="1281" max="1281" width="10.7109375" style="5" bestFit="1" customWidth="1"/>
    <col min="1282" max="1282" width="4.140625" style="5" customWidth="1"/>
    <col min="1283" max="1283" width="18.28515625" style="5" customWidth="1"/>
    <col min="1284" max="1284" width="3" style="5" customWidth="1"/>
    <col min="1285" max="1531" width="11.42578125" style="5"/>
    <col min="1532" max="1532" width="24.5703125" style="5" customWidth="1"/>
    <col min="1533" max="1533" width="7.5703125" style="5" customWidth="1"/>
    <col min="1534" max="1534" width="20.42578125" style="5" customWidth="1"/>
    <col min="1535" max="1535" width="2.5703125" style="5" customWidth="1"/>
    <col min="1536" max="1536" width="18.42578125" style="5" customWidth="1"/>
    <col min="1537" max="1537" width="10.7109375" style="5" bestFit="1" customWidth="1"/>
    <col min="1538" max="1538" width="4.140625" style="5" customWidth="1"/>
    <col min="1539" max="1539" width="18.28515625" style="5" customWidth="1"/>
    <col min="1540" max="1540" width="3" style="5" customWidth="1"/>
    <col min="1541" max="1787" width="11.42578125" style="5"/>
    <col min="1788" max="1788" width="24.5703125" style="5" customWidth="1"/>
    <col min="1789" max="1789" width="7.5703125" style="5" customWidth="1"/>
    <col min="1790" max="1790" width="20.42578125" style="5" customWidth="1"/>
    <col min="1791" max="1791" width="2.5703125" style="5" customWidth="1"/>
    <col min="1792" max="1792" width="18.42578125" style="5" customWidth="1"/>
    <col min="1793" max="1793" width="10.7109375" style="5" bestFit="1" customWidth="1"/>
    <col min="1794" max="1794" width="4.140625" style="5" customWidth="1"/>
    <col min="1795" max="1795" width="18.28515625" style="5" customWidth="1"/>
    <col min="1796" max="1796" width="3" style="5" customWidth="1"/>
    <col min="1797" max="2043" width="11.42578125" style="5"/>
    <col min="2044" max="2044" width="24.5703125" style="5" customWidth="1"/>
    <col min="2045" max="2045" width="7.5703125" style="5" customWidth="1"/>
    <col min="2046" max="2046" width="20.42578125" style="5" customWidth="1"/>
    <col min="2047" max="2047" width="2.5703125" style="5" customWidth="1"/>
    <col min="2048" max="2048" width="18.42578125" style="5" customWidth="1"/>
    <col min="2049" max="2049" width="10.7109375" style="5" bestFit="1" customWidth="1"/>
    <col min="2050" max="2050" width="4.140625" style="5" customWidth="1"/>
    <col min="2051" max="2051" width="18.28515625" style="5" customWidth="1"/>
    <col min="2052" max="2052" width="3" style="5" customWidth="1"/>
    <col min="2053" max="2299" width="11.42578125" style="5"/>
    <col min="2300" max="2300" width="24.5703125" style="5" customWidth="1"/>
    <col min="2301" max="2301" width="7.5703125" style="5" customWidth="1"/>
    <col min="2302" max="2302" width="20.42578125" style="5" customWidth="1"/>
    <col min="2303" max="2303" width="2.5703125" style="5" customWidth="1"/>
    <col min="2304" max="2304" width="18.42578125" style="5" customWidth="1"/>
    <col min="2305" max="2305" width="10.7109375" style="5" bestFit="1" customWidth="1"/>
    <col min="2306" max="2306" width="4.140625" style="5" customWidth="1"/>
    <col min="2307" max="2307" width="18.28515625" style="5" customWidth="1"/>
    <col min="2308" max="2308" width="3" style="5" customWidth="1"/>
    <col min="2309" max="2555" width="11.42578125" style="5"/>
    <col min="2556" max="2556" width="24.5703125" style="5" customWidth="1"/>
    <col min="2557" max="2557" width="7.5703125" style="5" customWidth="1"/>
    <col min="2558" max="2558" width="20.42578125" style="5" customWidth="1"/>
    <col min="2559" max="2559" width="2.5703125" style="5" customWidth="1"/>
    <col min="2560" max="2560" width="18.42578125" style="5" customWidth="1"/>
    <col min="2561" max="2561" width="10.7109375" style="5" bestFit="1" customWidth="1"/>
    <col min="2562" max="2562" width="4.140625" style="5" customWidth="1"/>
    <col min="2563" max="2563" width="18.28515625" style="5" customWidth="1"/>
    <col min="2564" max="2564" width="3" style="5" customWidth="1"/>
    <col min="2565" max="2811" width="11.42578125" style="5"/>
    <col min="2812" max="2812" width="24.5703125" style="5" customWidth="1"/>
    <col min="2813" max="2813" width="7.5703125" style="5" customWidth="1"/>
    <col min="2814" max="2814" width="20.42578125" style="5" customWidth="1"/>
    <col min="2815" max="2815" width="2.5703125" style="5" customWidth="1"/>
    <col min="2816" max="2816" width="18.42578125" style="5" customWidth="1"/>
    <col min="2817" max="2817" width="10.7109375" style="5" bestFit="1" customWidth="1"/>
    <col min="2818" max="2818" width="4.140625" style="5" customWidth="1"/>
    <col min="2819" max="2819" width="18.28515625" style="5" customWidth="1"/>
    <col min="2820" max="2820" width="3" style="5" customWidth="1"/>
    <col min="2821" max="3067" width="11.42578125" style="5"/>
    <col min="3068" max="3068" width="24.5703125" style="5" customWidth="1"/>
    <col min="3069" max="3069" width="7.5703125" style="5" customWidth="1"/>
    <col min="3070" max="3070" width="20.42578125" style="5" customWidth="1"/>
    <col min="3071" max="3071" width="2.5703125" style="5" customWidth="1"/>
    <col min="3072" max="3072" width="18.42578125" style="5" customWidth="1"/>
    <col min="3073" max="3073" width="10.7109375" style="5" bestFit="1" customWidth="1"/>
    <col min="3074" max="3074" width="4.140625" style="5" customWidth="1"/>
    <col min="3075" max="3075" width="18.28515625" style="5" customWidth="1"/>
    <col min="3076" max="3076" width="3" style="5" customWidth="1"/>
    <col min="3077" max="3323" width="11.42578125" style="5"/>
    <col min="3324" max="3324" width="24.5703125" style="5" customWidth="1"/>
    <col min="3325" max="3325" width="7.5703125" style="5" customWidth="1"/>
    <col min="3326" max="3326" width="20.42578125" style="5" customWidth="1"/>
    <col min="3327" max="3327" width="2.5703125" style="5" customWidth="1"/>
    <col min="3328" max="3328" width="18.42578125" style="5" customWidth="1"/>
    <col min="3329" max="3329" width="10.7109375" style="5" bestFit="1" customWidth="1"/>
    <col min="3330" max="3330" width="4.140625" style="5" customWidth="1"/>
    <col min="3331" max="3331" width="18.28515625" style="5" customWidth="1"/>
    <col min="3332" max="3332" width="3" style="5" customWidth="1"/>
    <col min="3333" max="3579" width="11.42578125" style="5"/>
    <col min="3580" max="3580" width="24.5703125" style="5" customWidth="1"/>
    <col min="3581" max="3581" width="7.5703125" style="5" customWidth="1"/>
    <col min="3582" max="3582" width="20.42578125" style="5" customWidth="1"/>
    <col min="3583" max="3583" width="2.5703125" style="5" customWidth="1"/>
    <col min="3584" max="3584" width="18.42578125" style="5" customWidth="1"/>
    <col min="3585" max="3585" width="10.7109375" style="5" bestFit="1" customWidth="1"/>
    <col min="3586" max="3586" width="4.140625" style="5" customWidth="1"/>
    <col min="3587" max="3587" width="18.28515625" style="5" customWidth="1"/>
    <col min="3588" max="3588" width="3" style="5" customWidth="1"/>
    <col min="3589" max="3835" width="11.42578125" style="5"/>
    <col min="3836" max="3836" width="24.5703125" style="5" customWidth="1"/>
    <col min="3837" max="3837" width="7.5703125" style="5" customWidth="1"/>
    <col min="3838" max="3838" width="20.42578125" style="5" customWidth="1"/>
    <col min="3839" max="3839" width="2.5703125" style="5" customWidth="1"/>
    <col min="3840" max="3840" width="18.42578125" style="5" customWidth="1"/>
    <col min="3841" max="3841" width="10.7109375" style="5" bestFit="1" customWidth="1"/>
    <col min="3842" max="3842" width="4.140625" style="5" customWidth="1"/>
    <col min="3843" max="3843" width="18.28515625" style="5" customWidth="1"/>
    <col min="3844" max="3844" width="3" style="5" customWidth="1"/>
    <col min="3845" max="4091" width="11.42578125" style="5"/>
    <col min="4092" max="4092" width="24.5703125" style="5" customWidth="1"/>
    <col min="4093" max="4093" width="7.5703125" style="5" customWidth="1"/>
    <col min="4094" max="4094" width="20.42578125" style="5" customWidth="1"/>
    <col min="4095" max="4095" width="2.5703125" style="5" customWidth="1"/>
    <col min="4096" max="4096" width="18.42578125" style="5" customWidth="1"/>
    <col min="4097" max="4097" width="10.7109375" style="5" bestFit="1" customWidth="1"/>
    <col min="4098" max="4098" width="4.140625" style="5" customWidth="1"/>
    <col min="4099" max="4099" width="18.28515625" style="5" customWidth="1"/>
    <col min="4100" max="4100" width="3" style="5" customWidth="1"/>
    <col min="4101" max="4347" width="11.42578125" style="5"/>
    <col min="4348" max="4348" width="24.5703125" style="5" customWidth="1"/>
    <col min="4349" max="4349" width="7.5703125" style="5" customWidth="1"/>
    <col min="4350" max="4350" width="20.42578125" style="5" customWidth="1"/>
    <col min="4351" max="4351" width="2.5703125" style="5" customWidth="1"/>
    <col min="4352" max="4352" width="18.42578125" style="5" customWidth="1"/>
    <col min="4353" max="4353" width="10.7109375" style="5" bestFit="1" customWidth="1"/>
    <col min="4354" max="4354" width="4.140625" style="5" customWidth="1"/>
    <col min="4355" max="4355" width="18.28515625" style="5" customWidth="1"/>
    <col min="4356" max="4356" width="3" style="5" customWidth="1"/>
    <col min="4357" max="4603" width="11.42578125" style="5"/>
    <col min="4604" max="4604" width="24.5703125" style="5" customWidth="1"/>
    <col min="4605" max="4605" width="7.5703125" style="5" customWidth="1"/>
    <col min="4606" max="4606" width="20.42578125" style="5" customWidth="1"/>
    <col min="4607" max="4607" width="2.5703125" style="5" customWidth="1"/>
    <col min="4608" max="4608" width="18.42578125" style="5" customWidth="1"/>
    <col min="4609" max="4609" width="10.7109375" style="5" bestFit="1" customWidth="1"/>
    <col min="4610" max="4610" width="4.140625" style="5" customWidth="1"/>
    <col min="4611" max="4611" width="18.28515625" style="5" customWidth="1"/>
    <col min="4612" max="4612" width="3" style="5" customWidth="1"/>
    <col min="4613" max="4859" width="11.42578125" style="5"/>
    <col min="4860" max="4860" width="24.5703125" style="5" customWidth="1"/>
    <col min="4861" max="4861" width="7.5703125" style="5" customWidth="1"/>
    <col min="4862" max="4862" width="20.42578125" style="5" customWidth="1"/>
    <col min="4863" max="4863" width="2.5703125" style="5" customWidth="1"/>
    <col min="4864" max="4864" width="18.42578125" style="5" customWidth="1"/>
    <col min="4865" max="4865" width="10.7109375" style="5" bestFit="1" customWidth="1"/>
    <col min="4866" max="4866" width="4.140625" style="5" customWidth="1"/>
    <col min="4867" max="4867" width="18.28515625" style="5" customWidth="1"/>
    <col min="4868" max="4868" width="3" style="5" customWidth="1"/>
    <col min="4869" max="5115" width="11.42578125" style="5"/>
    <col min="5116" max="5116" width="24.5703125" style="5" customWidth="1"/>
    <col min="5117" max="5117" width="7.5703125" style="5" customWidth="1"/>
    <col min="5118" max="5118" width="20.42578125" style="5" customWidth="1"/>
    <col min="5119" max="5119" width="2.5703125" style="5" customWidth="1"/>
    <col min="5120" max="5120" width="18.42578125" style="5" customWidth="1"/>
    <col min="5121" max="5121" width="10.7109375" style="5" bestFit="1" customWidth="1"/>
    <col min="5122" max="5122" width="4.140625" style="5" customWidth="1"/>
    <col min="5123" max="5123" width="18.28515625" style="5" customWidth="1"/>
    <col min="5124" max="5124" width="3" style="5" customWidth="1"/>
    <col min="5125" max="5371" width="11.42578125" style="5"/>
    <col min="5372" max="5372" width="24.5703125" style="5" customWidth="1"/>
    <col min="5373" max="5373" width="7.5703125" style="5" customWidth="1"/>
    <col min="5374" max="5374" width="20.42578125" style="5" customWidth="1"/>
    <col min="5375" max="5375" width="2.5703125" style="5" customWidth="1"/>
    <col min="5376" max="5376" width="18.42578125" style="5" customWidth="1"/>
    <col min="5377" max="5377" width="10.7109375" style="5" bestFit="1" customWidth="1"/>
    <col min="5378" max="5378" width="4.140625" style="5" customWidth="1"/>
    <col min="5379" max="5379" width="18.28515625" style="5" customWidth="1"/>
    <col min="5380" max="5380" width="3" style="5" customWidth="1"/>
    <col min="5381" max="5627" width="11.42578125" style="5"/>
    <col min="5628" max="5628" width="24.5703125" style="5" customWidth="1"/>
    <col min="5629" max="5629" width="7.5703125" style="5" customWidth="1"/>
    <col min="5630" max="5630" width="20.42578125" style="5" customWidth="1"/>
    <col min="5631" max="5631" width="2.5703125" style="5" customWidth="1"/>
    <col min="5632" max="5632" width="18.42578125" style="5" customWidth="1"/>
    <col min="5633" max="5633" width="10.7109375" style="5" bestFit="1" customWidth="1"/>
    <col min="5634" max="5634" width="4.140625" style="5" customWidth="1"/>
    <col min="5635" max="5635" width="18.28515625" style="5" customWidth="1"/>
    <col min="5636" max="5636" width="3" style="5" customWidth="1"/>
    <col min="5637" max="5883" width="11.42578125" style="5"/>
    <col min="5884" max="5884" width="24.5703125" style="5" customWidth="1"/>
    <col min="5885" max="5885" width="7.5703125" style="5" customWidth="1"/>
    <col min="5886" max="5886" width="20.42578125" style="5" customWidth="1"/>
    <col min="5887" max="5887" width="2.5703125" style="5" customWidth="1"/>
    <col min="5888" max="5888" width="18.42578125" style="5" customWidth="1"/>
    <col min="5889" max="5889" width="10.7109375" style="5" bestFit="1" customWidth="1"/>
    <col min="5890" max="5890" width="4.140625" style="5" customWidth="1"/>
    <col min="5891" max="5891" width="18.28515625" style="5" customWidth="1"/>
    <col min="5892" max="5892" width="3" style="5" customWidth="1"/>
    <col min="5893" max="6139" width="11.42578125" style="5"/>
    <col min="6140" max="6140" width="24.5703125" style="5" customWidth="1"/>
    <col min="6141" max="6141" width="7.5703125" style="5" customWidth="1"/>
    <col min="6142" max="6142" width="20.42578125" style="5" customWidth="1"/>
    <col min="6143" max="6143" width="2.5703125" style="5" customWidth="1"/>
    <col min="6144" max="6144" width="18.42578125" style="5" customWidth="1"/>
    <col min="6145" max="6145" width="10.7109375" style="5" bestFit="1" customWidth="1"/>
    <col min="6146" max="6146" width="4.140625" style="5" customWidth="1"/>
    <col min="6147" max="6147" width="18.28515625" style="5" customWidth="1"/>
    <col min="6148" max="6148" width="3" style="5" customWidth="1"/>
    <col min="6149" max="6395" width="11.42578125" style="5"/>
    <col min="6396" max="6396" width="24.5703125" style="5" customWidth="1"/>
    <col min="6397" max="6397" width="7.5703125" style="5" customWidth="1"/>
    <col min="6398" max="6398" width="20.42578125" style="5" customWidth="1"/>
    <col min="6399" max="6399" width="2.5703125" style="5" customWidth="1"/>
    <col min="6400" max="6400" width="18.42578125" style="5" customWidth="1"/>
    <col min="6401" max="6401" width="10.7109375" style="5" bestFit="1" customWidth="1"/>
    <col min="6402" max="6402" width="4.140625" style="5" customWidth="1"/>
    <col min="6403" max="6403" width="18.28515625" style="5" customWidth="1"/>
    <col min="6404" max="6404" width="3" style="5" customWidth="1"/>
    <col min="6405" max="6651" width="11.42578125" style="5"/>
    <col min="6652" max="6652" width="24.5703125" style="5" customWidth="1"/>
    <col min="6653" max="6653" width="7.5703125" style="5" customWidth="1"/>
    <col min="6654" max="6654" width="20.42578125" style="5" customWidth="1"/>
    <col min="6655" max="6655" width="2.5703125" style="5" customWidth="1"/>
    <col min="6656" max="6656" width="18.42578125" style="5" customWidth="1"/>
    <col min="6657" max="6657" width="10.7109375" style="5" bestFit="1" customWidth="1"/>
    <col min="6658" max="6658" width="4.140625" style="5" customWidth="1"/>
    <col min="6659" max="6659" width="18.28515625" style="5" customWidth="1"/>
    <col min="6660" max="6660" width="3" style="5" customWidth="1"/>
    <col min="6661" max="6907" width="11.42578125" style="5"/>
    <col min="6908" max="6908" width="24.5703125" style="5" customWidth="1"/>
    <col min="6909" max="6909" width="7.5703125" style="5" customWidth="1"/>
    <col min="6910" max="6910" width="20.42578125" style="5" customWidth="1"/>
    <col min="6911" max="6911" width="2.5703125" style="5" customWidth="1"/>
    <col min="6912" max="6912" width="18.42578125" style="5" customWidth="1"/>
    <col min="6913" max="6913" width="10.7109375" style="5" bestFit="1" customWidth="1"/>
    <col min="6914" max="6914" width="4.140625" style="5" customWidth="1"/>
    <col min="6915" max="6915" width="18.28515625" style="5" customWidth="1"/>
    <col min="6916" max="6916" width="3" style="5" customWidth="1"/>
    <col min="6917" max="7163" width="11.42578125" style="5"/>
    <col min="7164" max="7164" width="24.5703125" style="5" customWidth="1"/>
    <col min="7165" max="7165" width="7.5703125" style="5" customWidth="1"/>
    <col min="7166" max="7166" width="20.42578125" style="5" customWidth="1"/>
    <col min="7167" max="7167" width="2.5703125" style="5" customWidth="1"/>
    <col min="7168" max="7168" width="18.42578125" style="5" customWidth="1"/>
    <col min="7169" max="7169" width="10.7109375" style="5" bestFit="1" customWidth="1"/>
    <col min="7170" max="7170" width="4.140625" style="5" customWidth="1"/>
    <col min="7171" max="7171" width="18.28515625" style="5" customWidth="1"/>
    <col min="7172" max="7172" width="3" style="5" customWidth="1"/>
    <col min="7173" max="7419" width="11.42578125" style="5"/>
    <col min="7420" max="7420" width="24.5703125" style="5" customWidth="1"/>
    <col min="7421" max="7421" width="7.5703125" style="5" customWidth="1"/>
    <col min="7422" max="7422" width="20.42578125" style="5" customWidth="1"/>
    <col min="7423" max="7423" width="2.5703125" style="5" customWidth="1"/>
    <col min="7424" max="7424" width="18.42578125" style="5" customWidth="1"/>
    <col min="7425" max="7425" width="10.7109375" style="5" bestFit="1" customWidth="1"/>
    <col min="7426" max="7426" width="4.140625" style="5" customWidth="1"/>
    <col min="7427" max="7427" width="18.28515625" style="5" customWidth="1"/>
    <col min="7428" max="7428" width="3" style="5" customWidth="1"/>
    <col min="7429" max="7675" width="11.42578125" style="5"/>
    <col min="7676" max="7676" width="24.5703125" style="5" customWidth="1"/>
    <col min="7677" max="7677" width="7.5703125" style="5" customWidth="1"/>
    <col min="7678" max="7678" width="20.42578125" style="5" customWidth="1"/>
    <col min="7679" max="7679" width="2.5703125" style="5" customWidth="1"/>
    <col min="7680" max="7680" width="18.42578125" style="5" customWidth="1"/>
    <col min="7681" max="7681" width="10.7109375" style="5" bestFit="1" customWidth="1"/>
    <col min="7682" max="7682" width="4.140625" style="5" customWidth="1"/>
    <col min="7683" max="7683" width="18.28515625" style="5" customWidth="1"/>
    <col min="7684" max="7684" width="3" style="5" customWidth="1"/>
    <col min="7685" max="7931" width="11.42578125" style="5"/>
    <col min="7932" max="7932" width="24.5703125" style="5" customWidth="1"/>
    <col min="7933" max="7933" width="7.5703125" style="5" customWidth="1"/>
    <col min="7934" max="7934" width="20.42578125" style="5" customWidth="1"/>
    <col min="7935" max="7935" width="2.5703125" style="5" customWidth="1"/>
    <col min="7936" max="7936" width="18.42578125" style="5" customWidth="1"/>
    <col min="7937" max="7937" width="10.7109375" style="5" bestFit="1" customWidth="1"/>
    <col min="7938" max="7938" width="4.140625" style="5" customWidth="1"/>
    <col min="7939" max="7939" width="18.28515625" style="5" customWidth="1"/>
    <col min="7940" max="7940" width="3" style="5" customWidth="1"/>
    <col min="7941" max="8187" width="11.42578125" style="5"/>
    <col min="8188" max="8188" width="24.5703125" style="5" customWidth="1"/>
    <col min="8189" max="8189" width="7.5703125" style="5" customWidth="1"/>
    <col min="8190" max="8190" width="20.42578125" style="5" customWidth="1"/>
    <col min="8191" max="8191" width="2.5703125" style="5" customWidth="1"/>
    <col min="8192" max="8192" width="18.42578125" style="5" customWidth="1"/>
    <col min="8193" max="8193" width="10.7109375" style="5" bestFit="1" customWidth="1"/>
    <col min="8194" max="8194" width="4.140625" style="5" customWidth="1"/>
    <col min="8195" max="8195" width="18.28515625" style="5" customWidth="1"/>
    <col min="8196" max="8196" width="3" style="5" customWidth="1"/>
    <col min="8197" max="8443" width="11.42578125" style="5"/>
    <col min="8444" max="8444" width="24.5703125" style="5" customWidth="1"/>
    <col min="8445" max="8445" width="7.5703125" style="5" customWidth="1"/>
    <col min="8446" max="8446" width="20.42578125" style="5" customWidth="1"/>
    <col min="8447" max="8447" width="2.5703125" style="5" customWidth="1"/>
    <col min="8448" max="8448" width="18.42578125" style="5" customWidth="1"/>
    <col min="8449" max="8449" width="10.7109375" style="5" bestFit="1" customWidth="1"/>
    <col min="8450" max="8450" width="4.140625" style="5" customWidth="1"/>
    <col min="8451" max="8451" width="18.28515625" style="5" customWidth="1"/>
    <col min="8452" max="8452" width="3" style="5" customWidth="1"/>
    <col min="8453" max="8699" width="11.42578125" style="5"/>
    <col min="8700" max="8700" width="24.5703125" style="5" customWidth="1"/>
    <col min="8701" max="8701" width="7.5703125" style="5" customWidth="1"/>
    <col min="8702" max="8702" width="20.42578125" style="5" customWidth="1"/>
    <col min="8703" max="8703" width="2.5703125" style="5" customWidth="1"/>
    <col min="8704" max="8704" width="18.42578125" style="5" customWidth="1"/>
    <col min="8705" max="8705" width="10.7109375" style="5" bestFit="1" customWidth="1"/>
    <col min="8706" max="8706" width="4.140625" style="5" customWidth="1"/>
    <col min="8707" max="8707" width="18.28515625" style="5" customWidth="1"/>
    <col min="8708" max="8708" width="3" style="5" customWidth="1"/>
    <col min="8709" max="8955" width="11.42578125" style="5"/>
    <col min="8956" max="8956" width="24.5703125" style="5" customWidth="1"/>
    <col min="8957" max="8957" width="7.5703125" style="5" customWidth="1"/>
    <col min="8958" max="8958" width="20.42578125" style="5" customWidth="1"/>
    <col min="8959" max="8959" width="2.5703125" style="5" customWidth="1"/>
    <col min="8960" max="8960" width="18.42578125" style="5" customWidth="1"/>
    <col min="8961" max="8961" width="10.7109375" style="5" bestFit="1" customWidth="1"/>
    <col min="8962" max="8962" width="4.140625" style="5" customWidth="1"/>
    <col min="8963" max="8963" width="18.28515625" style="5" customWidth="1"/>
    <col min="8964" max="8964" width="3" style="5" customWidth="1"/>
    <col min="8965" max="9211" width="11.42578125" style="5"/>
    <col min="9212" max="9212" width="24.5703125" style="5" customWidth="1"/>
    <col min="9213" max="9213" width="7.5703125" style="5" customWidth="1"/>
    <col min="9214" max="9214" width="20.42578125" style="5" customWidth="1"/>
    <col min="9215" max="9215" width="2.5703125" style="5" customWidth="1"/>
    <col min="9216" max="9216" width="18.42578125" style="5" customWidth="1"/>
    <col min="9217" max="9217" width="10.7109375" style="5" bestFit="1" customWidth="1"/>
    <col min="9218" max="9218" width="4.140625" style="5" customWidth="1"/>
    <col min="9219" max="9219" width="18.28515625" style="5" customWidth="1"/>
    <col min="9220" max="9220" width="3" style="5" customWidth="1"/>
    <col min="9221" max="9467" width="11.42578125" style="5"/>
    <col min="9468" max="9468" width="24.5703125" style="5" customWidth="1"/>
    <col min="9469" max="9469" width="7.5703125" style="5" customWidth="1"/>
    <col min="9470" max="9470" width="20.42578125" style="5" customWidth="1"/>
    <col min="9471" max="9471" width="2.5703125" style="5" customWidth="1"/>
    <col min="9472" max="9472" width="18.42578125" style="5" customWidth="1"/>
    <col min="9473" max="9473" width="10.7109375" style="5" bestFit="1" customWidth="1"/>
    <col min="9474" max="9474" width="4.140625" style="5" customWidth="1"/>
    <col min="9475" max="9475" width="18.28515625" style="5" customWidth="1"/>
    <col min="9476" max="9476" width="3" style="5" customWidth="1"/>
    <col min="9477" max="9723" width="11.42578125" style="5"/>
    <col min="9724" max="9724" width="24.5703125" style="5" customWidth="1"/>
    <col min="9725" max="9725" width="7.5703125" style="5" customWidth="1"/>
    <col min="9726" max="9726" width="20.42578125" style="5" customWidth="1"/>
    <col min="9727" max="9727" width="2.5703125" style="5" customWidth="1"/>
    <col min="9728" max="9728" width="18.42578125" style="5" customWidth="1"/>
    <col min="9729" max="9729" width="10.7109375" style="5" bestFit="1" customWidth="1"/>
    <col min="9730" max="9730" width="4.140625" style="5" customWidth="1"/>
    <col min="9731" max="9731" width="18.28515625" style="5" customWidth="1"/>
    <col min="9732" max="9732" width="3" style="5" customWidth="1"/>
    <col min="9733" max="9979" width="11.42578125" style="5"/>
    <col min="9980" max="9980" width="24.5703125" style="5" customWidth="1"/>
    <col min="9981" max="9981" width="7.5703125" style="5" customWidth="1"/>
    <col min="9982" max="9982" width="20.42578125" style="5" customWidth="1"/>
    <col min="9983" max="9983" width="2.5703125" style="5" customWidth="1"/>
    <col min="9984" max="9984" width="18.42578125" style="5" customWidth="1"/>
    <col min="9985" max="9985" width="10.7109375" style="5" bestFit="1" customWidth="1"/>
    <col min="9986" max="9986" width="4.140625" style="5" customWidth="1"/>
    <col min="9987" max="9987" width="18.28515625" style="5" customWidth="1"/>
    <col min="9988" max="9988" width="3" style="5" customWidth="1"/>
    <col min="9989" max="10235" width="11.42578125" style="5"/>
    <col min="10236" max="10236" width="24.5703125" style="5" customWidth="1"/>
    <col min="10237" max="10237" width="7.5703125" style="5" customWidth="1"/>
    <col min="10238" max="10238" width="20.42578125" style="5" customWidth="1"/>
    <col min="10239" max="10239" width="2.5703125" style="5" customWidth="1"/>
    <col min="10240" max="10240" width="18.42578125" style="5" customWidth="1"/>
    <col min="10241" max="10241" width="10.7109375" style="5" bestFit="1" customWidth="1"/>
    <col min="10242" max="10242" width="4.140625" style="5" customWidth="1"/>
    <col min="10243" max="10243" width="18.28515625" style="5" customWidth="1"/>
    <col min="10244" max="10244" width="3" style="5" customWidth="1"/>
    <col min="10245" max="10491" width="11.42578125" style="5"/>
    <col min="10492" max="10492" width="24.5703125" style="5" customWidth="1"/>
    <col min="10493" max="10493" width="7.5703125" style="5" customWidth="1"/>
    <col min="10494" max="10494" width="20.42578125" style="5" customWidth="1"/>
    <col min="10495" max="10495" width="2.5703125" style="5" customWidth="1"/>
    <col min="10496" max="10496" width="18.42578125" style="5" customWidth="1"/>
    <col min="10497" max="10497" width="10.7109375" style="5" bestFit="1" customWidth="1"/>
    <col min="10498" max="10498" width="4.140625" style="5" customWidth="1"/>
    <col min="10499" max="10499" width="18.28515625" style="5" customWidth="1"/>
    <col min="10500" max="10500" width="3" style="5" customWidth="1"/>
    <col min="10501" max="10747" width="11.42578125" style="5"/>
    <col min="10748" max="10748" width="24.5703125" style="5" customWidth="1"/>
    <col min="10749" max="10749" width="7.5703125" style="5" customWidth="1"/>
    <col min="10750" max="10750" width="20.42578125" style="5" customWidth="1"/>
    <col min="10751" max="10751" width="2.5703125" style="5" customWidth="1"/>
    <col min="10752" max="10752" width="18.42578125" style="5" customWidth="1"/>
    <col min="10753" max="10753" width="10.7109375" style="5" bestFit="1" customWidth="1"/>
    <col min="10754" max="10754" width="4.140625" style="5" customWidth="1"/>
    <col min="10755" max="10755" width="18.28515625" style="5" customWidth="1"/>
    <col min="10756" max="10756" width="3" style="5" customWidth="1"/>
    <col min="10757" max="11003" width="11.42578125" style="5"/>
    <col min="11004" max="11004" width="24.5703125" style="5" customWidth="1"/>
    <col min="11005" max="11005" width="7.5703125" style="5" customWidth="1"/>
    <col min="11006" max="11006" width="20.42578125" style="5" customWidth="1"/>
    <col min="11007" max="11007" width="2.5703125" style="5" customWidth="1"/>
    <col min="11008" max="11008" width="18.42578125" style="5" customWidth="1"/>
    <col min="11009" max="11009" width="10.7109375" style="5" bestFit="1" customWidth="1"/>
    <col min="11010" max="11010" width="4.140625" style="5" customWidth="1"/>
    <col min="11011" max="11011" width="18.28515625" style="5" customWidth="1"/>
    <col min="11012" max="11012" width="3" style="5" customWidth="1"/>
    <col min="11013" max="11259" width="11.42578125" style="5"/>
    <col min="11260" max="11260" width="24.5703125" style="5" customWidth="1"/>
    <col min="11261" max="11261" width="7.5703125" style="5" customWidth="1"/>
    <col min="11262" max="11262" width="20.42578125" style="5" customWidth="1"/>
    <col min="11263" max="11263" width="2.5703125" style="5" customWidth="1"/>
    <col min="11264" max="11264" width="18.42578125" style="5" customWidth="1"/>
    <col min="11265" max="11265" width="10.7109375" style="5" bestFit="1" customWidth="1"/>
    <col min="11266" max="11266" width="4.140625" style="5" customWidth="1"/>
    <col min="11267" max="11267" width="18.28515625" style="5" customWidth="1"/>
    <col min="11268" max="11268" width="3" style="5" customWidth="1"/>
    <col min="11269" max="11515" width="11.42578125" style="5"/>
    <col min="11516" max="11516" width="24.5703125" style="5" customWidth="1"/>
    <col min="11517" max="11517" width="7.5703125" style="5" customWidth="1"/>
    <col min="11518" max="11518" width="20.42578125" style="5" customWidth="1"/>
    <col min="11519" max="11519" width="2.5703125" style="5" customWidth="1"/>
    <col min="11520" max="11520" width="18.42578125" style="5" customWidth="1"/>
    <col min="11521" max="11521" width="10.7109375" style="5" bestFit="1" customWidth="1"/>
    <col min="11522" max="11522" width="4.140625" style="5" customWidth="1"/>
    <col min="11523" max="11523" width="18.28515625" style="5" customWidth="1"/>
    <col min="11524" max="11524" width="3" style="5" customWidth="1"/>
    <col min="11525" max="11771" width="11.42578125" style="5"/>
    <col min="11772" max="11772" width="24.5703125" style="5" customWidth="1"/>
    <col min="11773" max="11773" width="7.5703125" style="5" customWidth="1"/>
    <col min="11774" max="11774" width="20.42578125" style="5" customWidth="1"/>
    <col min="11775" max="11775" width="2.5703125" style="5" customWidth="1"/>
    <col min="11776" max="11776" width="18.42578125" style="5" customWidth="1"/>
    <col min="11777" max="11777" width="10.7109375" style="5" bestFit="1" customWidth="1"/>
    <col min="11778" max="11778" width="4.140625" style="5" customWidth="1"/>
    <col min="11779" max="11779" width="18.28515625" style="5" customWidth="1"/>
    <col min="11780" max="11780" width="3" style="5" customWidth="1"/>
    <col min="11781" max="12027" width="11.42578125" style="5"/>
    <col min="12028" max="12028" width="24.5703125" style="5" customWidth="1"/>
    <col min="12029" max="12029" width="7.5703125" style="5" customWidth="1"/>
    <col min="12030" max="12030" width="20.42578125" style="5" customWidth="1"/>
    <col min="12031" max="12031" width="2.5703125" style="5" customWidth="1"/>
    <col min="12032" max="12032" width="18.42578125" style="5" customWidth="1"/>
    <col min="12033" max="12033" width="10.7109375" style="5" bestFit="1" customWidth="1"/>
    <col min="12034" max="12034" width="4.140625" style="5" customWidth="1"/>
    <col min="12035" max="12035" width="18.28515625" style="5" customWidth="1"/>
    <col min="12036" max="12036" width="3" style="5" customWidth="1"/>
    <col min="12037" max="12283" width="11.42578125" style="5"/>
    <col min="12284" max="12284" width="24.5703125" style="5" customWidth="1"/>
    <col min="12285" max="12285" width="7.5703125" style="5" customWidth="1"/>
    <col min="12286" max="12286" width="20.42578125" style="5" customWidth="1"/>
    <col min="12287" max="12287" width="2.5703125" style="5" customWidth="1"/>
    <col min="12288" max="12288" width="18.42578125" style="5" customWidth="1"/>
    <col min="12289" max="12289" width="10.7109375" style="5" bestFit="1" customWidth="1"/>
    <col min="12290" max="12290" width="4.140625" style="5" customWidth="1"/>
    <col min="12291" max="12291" width="18.28515625" style="5" customWidth="1"/>
    <col min="12292" max="12292" width="3" style="5" customWidth="1"/>
    <col min="12293" max="12539" width="11.42578125" style="5"/>
    <col min="12540" max="12540" width="24.5703125" style="5" customWidth="1"/>
    <col min="12541" max="12541" width="7.5703125" style="5" customWidth="1"/>
    <col min="12542" max="12542" width="20.42578125" style="5" customWidth="1"/>
    <col min="12543" max="12543" width="2.5703125" style="5" customWidth="1"/>
    <col min="12544" max="12544" width="18.42578125" style="5" customWidth="1"/>
    <col min="12545" max="12545" width="10.7109375" style="5" bestFit="1" customWidth="1"/>
    <col min="12546" max="12546" width="4.140625" style="5" customWidth="1"/>
    <col min="12547" max="12547" width="18.28515625" style="5" customWidth="1"/>
    <col min="12548" max="12548" width="3" style="5" customWidth="1"/>
    <col min="12549" max="12795" width="11.42578125" style="5"/>
    <col min="12796" max="12796" width="24.5703125" style="5" customWidth="1"/>
    <col min="12797" max="12797" width="7.5703125" style="5" customWidth="1"/>
    <col min="12798" max="12798" width="20.42578125" style="5" customWidth="1"/>
    <col min="12799" max="12799" width="2.5703125" style="5" customWidth="1"/>
    <col min="12800" max="12800" width="18.42578125" style="5" customWidth="1"/>
    <col min="12801" max="12801" width="10.7109375" style="5" bestFit="1" customWidth="1"/>
    <col min="12802" max="12802" width="4.140625" style="5" customWidth="1"/>
    <col min="12803" max="12803" width="18.28515625" style="5" customWidth="1"/>
    <col min="12804" max="12804" width="3" style="5" customWidth="1"/>
    <col min="12805" max="13051" width="11.42578125" style="5"/>
    <col min="13052" max="13052" width="24.5703125" style="5" customWidth="1"/>
    <col min="13053" max="13053" width="7.5703125" style="5" customWidth="1"/>
    <col min="13054" max="13054" width="20.42578125" style="5" customWidth="1"/>
    <col min="13055" max="13055" width="2.5703125" style="5" customWidth="1"/>
    <col min="13056" max="13056" width="18.42578125" style="5" customWidth="1"/>
    <col min="13057" max="13057" width="10.7109375" style="5" bestFit="1" customWidth="1"/>
    <col min="13058" max="13058" width="4.140625" style="5" customWidth="1"/>
    <col min="13059" max="13059" width="18.28515625" style="5" customWidth="1"/>
    <col min="13060" max="13060" width="3" style="5" customWidth="1"/>
    <col min="13061" max="13307" width="11.42578125" style="5"/>
    <col min="13308" max="13308" width="24.5703125" style="5" customWidth="1"/>
    <col min="13309" max="13309" width="7.5703125" style="5" customWidth="1"/>
    <col min="13310" max="13310" width="20.42578125" style="5" customWidth="1"/>
    <col min="13311" max="13311" width="2.5703125" style="5" customWidth="1"/>
    <col min="13312" max="13312" width="18.42578125" style="5" customWidth="1"/>
    <col min="13313" max="13313" width="10.7109375" style="5" bestFit="1" customWidth="1"/>
    <col min="13314" max="13314" width="4.140625" style="5" customWidth="1"/>
    <col min="13315" max="13315" width="18.28515625" style="5" customWidth="1"/>
    <col min="13316" max="13316" width="3" style="5" customWidth="1"/>
    <col min="13317" max="13563" width="11.42578125" style="5"/>
    <col min="13564" max="13564" width="24.5703125" style="5" customWidth="1"/>
    <col min="13565" max="13565" width="7.5703125" style="5" customWidth="1"/>
    <col min="13566" max="13566" width="20.42578125" style="5" customWidth="1"/>
    <col min="13567" max="13567" width="2.5703125" style="5" customWidth="1"/>
    <col min="13568" max="13568" width="18.42578125" style="5" customWidth="1"/>
    <col min="13569" max="13569" width="10.7109375" style="5" bestFit="1" customWidth="1"/>
    <col min="13570" max="13570" width="4.140625" style="5" customWidth="1"/>
    <col min="13571" max="13571" width="18.28515625" style="5" customWidth="1"/>
    <col min="13572" max="13572" width="3" style="5" customWidth="1"/>
    <col min="13573" max="13819" width="11.42578125" style="5"/>
    <col min="13820" max="13820" width="24.5703125" style="5" customWidth="1"/>
    <col min="13821" max="13821" width="7.5703125" style="5" customWidth="1"/>
    <col min="13822" max="13822" width="20.42578125" style="5" customWidth="1"/>
    <col min="13823" max="13823" width="2.5703125" style="5" customWidth="1"/>
    <col min="13824" max="13824" width="18.42578125" style="5" customWidth="1"/>
    <col min="13825" max="13825" width="10.7109375" style="5" bestFit="1" customWidth="1"/>
    <col min="13826" max="13826" width="4.140625" style="5" customWidth="1"/>
    <col min="13827" max="13827" width="18.28515625" style="5" customWidth="1"/>
    <col min="13828" max="13828" width="3" style="5" customWidth="1"/>
    <col min="13829" max="14075" width="11.42578125" style="5"/>
    <col min="14076" max="14076" width="24.5703125" style="5" customWidth="1"/>
    <col min="14077" max="14077" width="7.5703125" style="5" customWidth="1"/>
    <col min="14078" max="14078" width="20.42578125" style="5" customWidth="1"/>
    <col min="14079" max="14079" width="2.5703125" style="5" customWidth="1"/>
    <col min="14080" max="14080" width="18.42578125" style="5" customWidth="1"/>
    <col min="14081" max="14081" width="10.7109375" style="5" bestFit="1" customWidth="1"/>
    <col min="14082" max="14082" width="4.140625" style="5" customWidth="1"/>
    <col min="14083" max="14083" width="18.28515625" style="5" customWidth="1"/>
    <col min="14084" max="14084" width="3" style="5" customWidth="1"/>
    <col min="14085" max="14331" width="11.42578125" style="5"/>
    <col min="14332" max="14332" width="24.5703125" style="5" customWidth="1"/>
    <col min="14333" max="14333" width="7.5703125" style="5" customWidth="1"/>
    <col min="14334" max="14334" width="20.42578125" style="5" customWidth="1"/>
    <col min="14335" max="14335" width="2.5703125" style="5" customWidth="1"/>
    <col min="14336" max="14336" width="18.42578125" style="5" customWidth="1"/>
    <col min="14337" max="14337" width="10.7109375" style="5" bestFit="1" customWidth="1"/>
    <col min="14338" max="14338" width="4.140625" style="5" customWidth="1"/>
    <col min="14339" max="14339" width="18.28515625" style="5" customWidth="1"/>
    <col min="14340" max="14340" width="3" style="5" customWidth="1"/>
    <col min="14341" max="14587" width="11.42578125" style="5"/>
    <col min="14588" max="14588" width="24.5703125" style="5" customWidth="1"/>
    <col min="14589" max="14589" width="7.5703125" style="5" customWidth="1"/>
    <col min="14590" max="14590" width="20.42578125" style="5" customWidth="1"/>
    <col min="14591" max="14591" width="2.5703125" style="5" customWidth="1"/>
    <col min="14592" max="14592" width="18.42578125" style="5" customWidth="1"/>
    <col min="14593" max="14593" width="10.7109375" style="5" bestFit="1" customWidth="1"/>
    <col min="14594" max="14594" width="4.140625" style="5" customWidth="1"/>
    <col min="14595" max="14595" width="18.28515625" style="5" customWidth="1"/>
    <col min="14596" max="14596" width="3" style="5" customWidth="1"/>
    <col min="14597" max="14843" width="11.42578125" style="5"/>
    <col min="14844" max="14844" width="24.5703125" style="5" customWidth="1"/>
    <col min="14845" max="14845" width="7.5703125" style="5" customWidth="1"/>
    <col min="14846" max="14846" width="20.42578125" style="5" customWidth="1"/>
    <col min="14847" max="14847" width="2.5703125" style="5" customWidth="1"/>
    <col min="14848" max="14848" width="18.42578125" style="5" customWidth="1"/>
    <col min="14849" max="14849" width="10.7109375" style="5" bestFit="1" customWidth="1"/>
    <col min="14850" max="14850" width="4.140625" style="5" customWidth="1"/>
    <col min="14851" max="14851" width="18.28515625" style="5" customWidth="1"/>
    <col min="14852" max="14852" width="3" style="5" customWidth="1"/>
    <col min="14853" max="15099" width="11.42578125" style="5"/>
    <col min="15100" max="15100" width="24.5703125" style="5" customWidth="1"/>
    <col min="15101" max="15101" width="7.5703125" style="5" customWidth="1"/>
    <col min="15102" max="15102" width="20.42578125" style="5" customWidth="1"/>
    <col min="15103" max="15103" width="2.5703125" style="5" customWidth="1"/>
    <col min="15104" max="15104" width="18.42578125" style="5" customWidth="1"/>
    <col min="15105" max="15105" width="10.7109375" style="5" bestFit="1" customWidth="1"/>
    <col min="15106" max="15106" width="4.140625" style="5" customWidth="1"/>
    <col min="15107" max="15107" width="18.28515625" style="5" customWidth="1"/>
    <col min="15108" max="15108" width="3" style="5" customWidth="1"/>
    <col min="15109" max="15355" width="11.42578125" style="5"/>
    <col min="15356" max="15356" width="24.5703125" style="5" customWidth="1"/>
    <col min="15357" max="15357" width="7.5703125" style="5" customWidth="1"/>
    <col min="15358" max="15358" width="20.42578125" style="5" customWidth="1"/>
    <col min="15359" max="15359" width="2.5703125" style="5" customWidth="1"/>
    <col min="15360" max="15360" width="18.42578125" style="5" customWidth="1"/>
    <col min="15361" max="15361" width="10.7109375" style="5" bestFit="1" customWidth="1"/>
    <col min="15362" max="15362" width="4.140625" style="5" customWidth="1"/>
    <col min="15363" max="15363" width="18.28515625" style="5" customWidth="1"/>
    <col min="15364" max="15364" width="3" style="5" customWidth="1"/>
    <col min="15365" max="15611" width="11.42578125" style="5"/>
    <col min="15612" max="15612" width="24.5703125" style="5" customWidth="1"/>
    <col min="15613" max="15613" width="7.5703125" style="5" customWidth="1"/>
    <col min="15614" max="15614" width="20.42578125" style="5" customWidth="1"/>
    <col min="15615" max="15615" width="2.5703125" style="5" customWidth="1"/>
    <col min="15616" max="15616" width="18.42578125" style="5" customWidth="1"/>
    <col min="15617" max="15617" width="10.7109375" style="5" bestFit="1" customWidth="1"/>
    <col min="15618" max="15618" width="4.140625" style="5" customWidth="1"/>
    <col min="15619" max="15619" width="18.28515625" style="5" customWidth="1"/>
    <col min="15620" max="15620" width="3" style="5" customWidth="1"/>
    <col min="15621" max="15867" width="11.42578125" style="5"/>
    <col min="15868" max="15868" width="24.5703125" style="5" customWidth="1"/>
    <col min="15869" max="15869" width="7.5703125" style="5" customWidth="1"/>
    <col min="15870" max="15870" width="20.42578125" style="5" customWidth="1"/>
    <col min="15871" max="15871" width="2.5703125" style="5" customWidth="1"/>
    <col min="15872" max="15872" width="18.42578125" style="5" customWidth="1"/>
    <col min="15873" max="15873" width="10.7109375" style="5" bestFit="1" customWidth="1"/>
    <col min="15874" max="15874" width="4.140625" style="5" customWidth="1"/>
    <col min="15875" max="15875" width="18.28515625" style="5" customWidth="1"/>
    <col min="15876" max="15876" width="3" style="5" customWidth="1"/>
    <col min="15877" max="16123" width="11.42578125" style="5"/>
    <col min="16124" max="16124" width="24.5703125" style="5" customWidth="1"/>
    <col min="16125" max="16125" width="7.5703125" style="5" customWidth="1"/>
    <col min="16126" max="16126" width="20.42578125" style="5" customWidth="1"/>
    <col min="16127" max="16127" width="2.5703125" style="5" customWidth="1"/>
    <col min="16128" max="16128" width="18.42578125" style="5" customWidth="1"/>
    <col min="16129" max="16129" width="10.7109375" style="5" bestFit="1" customWidth="1"/>
    <col min="16130" max="16130" width="4.140625" style="5" customWidth="1"/>
    <col min="16131" max="16131" width="18.28515625" style="5" customWidth="1"/>
    <col min="16132" max="16132" width="3" style="5" customWidth="1"/>
    <col min="16133" max="16379" width="11.42578125" style="5"/>
    <col min="16380" max="16384" width="11.42578125" style="5" customWidth="1"/>
  </cols>
  <sheetData>
    <row r="1" spans="1:5" ht="15" x14ac:dyDescent="0.25">
      <c r="A1" s="735"/>
      <c r="B1" s="735"/>
      <c r="C1" s="735"/>
      <c r="D1" s="956"/>
    </row>
    <row r="2" spans="1:5" ht="20.25" x14ac:dyDescent="0.3">
      <c r="A2" s="1103" t="s">
        <v>4107</v>
      </c>
      <c r="B2" s="1103"/>
      <c r="C2" s="1103"/>
      <c r="D2" s="1103"/>
      <c r="E2" s="1103"/>
    </row>
    <row r="3" spans="1:5" ht="20.25" x14ac:dyDescent="0.3">
      <c r="A3" s="1103" t="s">
        <v>3389</v>
      </c>
      <c r="B3" s="1103"/>
      <c r="C3" s="1103"/>
      <c r="D3" s="1103"/>
      <c r="E3" s="1103"/>
    </row>
    <row r="4" spans="1:5" ht="15.75" x14ac:dyDescent="0.25">
      <c r="A4" s="1102" t="s">
        <v>3548</v>
      </c>
      <c r="B4" s="1102"/>
      <c r="C4" s="1102"/>
      <c r="D4" s="1102"/>
      <c r="E4" s="1102"/>
    </row>
    <row r="5" spans="1:5" ht="15.75" x14ac:dyDescent="0.25">
      <c r="A5" s="1102" t="s">
        <v>3534</v>
      </c>
      <c r="B5" s="1102"/>
      <c r="C5" s="1102"/>
      <c r="D5" s="1102"/>
      <c r="E5" s="1102"/>
    </row>
    <row r="6" spans="1:5" ht="15" x14ac:dyDescent="0.25">
      <c r="A6" s="14"/>
      <c r="C6" s="5"/>
    </row>
    <row r="7" spans="1:5" ht="15.75" x14ac:dyDescent="0.25">
      <c r="A7" s="1101" t="s">
        <v>3985</v>
      </c>
      <c r="B7" s="1101"/>
      <c r="C7" s="1101"/>
      <c r="D7" s="1101"/>
      <c r="E7" s="1101"/>
    </row>
    <row r="8" spans="1:5" ht="15" x14ac:dyDescent="0.25">
      <c r="A8" s="14"/>
      <c r="C8" s="5"/>
    </row>
    <row r="9" spans="1:5" ht="15" x14ac:dyDescent="0.25">
      <c r="A9" s="14"/>
      <c r="C9" s="5"/>
    </row>
    <row r="10" spans="1:5" x14ac:dyDescent="0.2">
      <c r="A10" s="5" t="s">
        <v>3384</v>
      </c>
      <c r="B10" s="958"/>
      <c r="C10" s="959">
        <v>1548461080.73</v>
      </c>
    </row>
    <row r="11" spans="1:5" x14ac:dyDescent="0.2">
      <c r="B11" s="958"/>
      <c r="C11" s="959"/>
      <c r="E11" s="960"/>
    </row>
    <row r="12" spans="1:5" ht="15" thickBot="1" x14ac:dyDescent="0.25">
      <c r="A12" s="5" t="s">
        <v>3385</v>
      </c>
      <c r="B12" s="958"/>
      <c r="C12" s="961">
        <v>914012641.51999998</v>
      </c>
      <c r="D12" s="704" t="s">
        <v>3387</v>
      </c>
    </row>
    <row r="13" spans="1:5" x14ac:dyDescent="0.2">
      <c r="C13" s="5"/>
    </row>
    <row r="14" spans="1:5" ht="15" x14ac:dyDescent="0.25">
      <c r="A14" s="11" t="s">
        <v>3386</v>
      </c>
      <c r="B14" s="962"/>
      <c r="C14" s="963">
        <f>+C10-C12</f>
        <v>634448439.21000004</v>
      </c>
    </row>
    <row r="15" spans="1:5" x14ac:dyDescent="0.2">
      <c r="C15" s="5"/>
      <c r="D15" s="704"/>
    </row>
    <row r="16" spans="1:5" x14ac:dyDescent="0.2">
      <c r="C16" s="5"/>
      <c r="D16" s="704"/>
    </row>
    <row r="17" spans="1:5" x14ac:dyDescent="0.2">
      <c r="C17" s="5"/>
      <c r="D17" s="704"/>
    </row>
    <row r="18" spans="1:5" x14ac:dyDescent="0.2">
      <c r="C18" s="5"/>
    </row>
    <row r="19" spans="1:5" ht="15.75" x14ac:dyDescent="0.25">
      <c r="A19" s="1101" t="s">
        <v>3986</v>
      </c>
      <c r="B19" s="1101"/>
      <c r="C19" s="1101"/>
      <c r="D19" s="1101"/>
      <c r="E19" s="1101"/>
    </row>
    <row r="20" spans="1:5" x14ac:dyDescent="0.2">
      <c r="A20" s="964"/>
      <c r="B20" s="958" t="s">
        <v>468</v>
      </c>
      <c r="C20" s="13" t="s">
        <v>468</v>
      </c>
      <c r="D20" s="704"/>
    </row>
    <row r="21" spans="1:5" ht="15" x14ac:dyDescent="0.25">
      <c r="A21" s="11" t="s">
        <v>2691</v>
      </c>
      <c r="E21" s="960" t="s">
        <v>4165</v>
      </c>
    </row>
    <row r="23" spans="1:5" x14ac:dyDescent="0.2">
      <c r="A23" s="5" t="s">
        <v>523</v>
      </c>
      <c r="B23" s="958"/>
      <c r="C23" s="959">
        <v>2650000000</v>
      </c>
    </row>
    <row r="24" spans="1:5" ht="15" thickBot="1" x14ac:dyDescent="0.25">
      <c r="A24" s="5" t="s">
        <v>1023</v>
      </c>
      <c r="B24" s="958"/>
      <c r="C24" s="961">
        <v>1548461080.73</v>
      </c>
      <c r="E24" s="794">
        <f>+C24/C23</f>
        <v>0.58432493612452829</v>
      </c>
    </row>
    <row r="26" spans="1:5" s="11" customFormat="1" ht="15" x14ac:dyDescent="0.25">
      <c r="A26" s="11" t="s">
        <v>387</v>
      </c>
      <c r="B26" s="962"/>
      <c r="C26" s="965">
        <f>+C23-C24</f>
        <v>1101538919.27</v>
      </c>
      <c r="D26" s="956"/>
      <c r="E26" s="966"/>
    </row>
    <row r="29" spans="1:5" ht="15" x14ac:dyDescent="0.25">
      <c r="A29" s="11" t="s">
        <v>2692</v>
      </c>
      <c r="E29" s="960" t="s">
        <v>3447</v>
      </c>
    </row>
    <row r="31" spans="1:5" x14ac:dyDescent="0.2">
      <c r="A31" s="5" t="s">
        <v>523</v>
      </c>
      <c r="B31" s="958"/>
      <c r="C31" s="959">
        <v>2650000000</v>
      </c>
    </row>
    <row r="32" spans="1:5" ht="15" thickBot="1" x14ac:dyDescent="0.25">
      <c r="A32" s="5" t="s">
        <v>1023</v>
      </c>
      <c r="B32" s="958"/>
      <c r="C32" s="961">
        <v>914012641.51999998</v>
      </c>
      <c r="D32" s="704" t="s">
        <v>3387</v>
      </c>
      <c r="E32" s="794">
        <f>+C32/C31</f>
        <v>0.34491043076226413</v>
      </c>
    </row>
    <row r="34" spans="1:5" s="11" customFormat="1" ht="15" x14ac:dyDescent="0.25">
      <c r="A34" s="11" t="s">
        <v>1170</v>
      </c>
      <c r="B34" s="962"/>
      <c r="C34" s="965">
        <f>+C31-C32</f>
        <v>1735987358.48</v>
      </c>
      <c r="D34" s="956"/>
      <c r="E34" s="966"/>
    </row>
    <row r="39" spans="1:5" s="11" customFormat="1" ht="15" x14ac:dyDescent="0.25">
      <c r="A39" s="20" t="s">
        <v>2272</v>
      </c>
      <c r="B39" s="962"/>
      <c r="C39" s="965">
        <f>+C34-C26</f>
        <v>634448439.21000004</v>
      </c>
      <c r="D39" s="956"/>
      <c r="E39" s="966"/>
    </row>
    <row r="41" spans="1:5" x14ac:dyDescent="0.2">
      <c r="A41" s="17" t="s">
        <v>1712</v>
      </c>
      <c r="B41" s="958"/>
      <c r="C41" s="13">
        <v>27544604.670000002</v>
      </c>
    </row>
    <row r="43" spans="1:5" s="11" customFormat="1" ht="15.75" thickBot="1" x14ac:dyDescent="0.3">
      <c r="A43" s="11" t="s">
        <v>3388</v>
      </c>
      <c r="B43" s="962"/>
      <c r="C43" s="967">
        <f>+C39-C41</f>
        <v>606903834.54000008</v>
      </c>
      <c r="D43" s="956"/>
      <c r="E43" s="966"/>
    </row>
    <row r="44" spans="1:5" ht="15" thickTop="1" x14ac:dyDescent="0.2"/>
    <row r="47" spans="1:5" ht="15" x14ac:dyDescent="0.25">
      <c r="A47" s="5" t="s">
        <v>4192</v>
      </c>
    </row>
    <row r="48" spans="1:5" ht="44.25" customHeight="1" x14ac:dyDescent="0.2">
      <c r="A48" s="1094" t="s">
        <v>4191</v>
      </c>
      <c r="B48" s="1094"/>
      <c r="C48" s="1094"/>
    </row>
    <row r="49" spans="1:1" x14ac:dyDescent="0.2">
      <c r="A49" s="5" t="s">
        <v>468</v>
      </c>
    </row>
    <row r="50" spans="1:1" x14ac:dyDescent="0.2">
      <c r="A50" s="5" t="s">
        <v>468</v>
      </c>
    </row>
    <row r="51" spans="1:1" x14ac:dyDescent="0.2">
      <c r="A51" s="5" t="s">
        <v>468</v>
      </c>
    </row>
    <row r="52" spans="1:1" x14ac:dyDescent="0.2">
      <c r="A52" s="5" t="s">
        <v>468</v>
      </c>
    </row>
    <row r="53" spans="1:1" x14ac:dyDescent="0.2">
      <c r="A53" s="5" t="s">
        <v>468</v>
      </c>
    </row>
  </sheetData>
  <mergeCells count="7">
    <mergeCell ref="A48:C48"/>
    <mergeCell ref="A19:E19"/>
    <mergeCell ref="A5:E5"/>
    <mergeCell ref="A2:E2"/>
    <mergeCell ref="A3:E3"/>
    <mergeCell ref="A4:E4"/>
    <mergeCell ref="A7:E7"/>
  </mergeCells>
  <phoneticPr fontId="20" type="noConversion"/>
  <printOptions horizontalCentered="1"/>
  <pageMargins left="0.62992125984251968" right="0.59055118110236227" top="1.7322834645669292" bottom="1.1417322834645669" header="0.82677165354330717" footer="0.70866141732283472"/>
  <pageSetup paperSize="9" scale="75" orientation="portrait" r:id="rId1"/>
  <headerFooter alignWithMargins="0">
    <oddHeader>&amp;C&amp;"Arial,Negrita"UNIVERSIDAD DE COSTA RICA
VICERRECTORÍA DE ADMINISTRACIÓN
OFICINA DE ADMINISTRACIÓN FINANCIERA</oddHeader>
    <oddFooter>&amp;C&amp;P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G112"/>
  <sheetViews>
    <sheetView workbookViewId="0">
      <selection activeCell="J5" sqref="J5"/>
    </sheetView>
  </sheetViews>
  <sheetFormatPr baseColWidth="10" defaultRowHeight="12.75" x14ac:dyDescent="0.2"/>
  <cols>
    <col min="1" max="1" width="54.28515625" style="32" customWidth="1"/>
    <col min="2" max="2" width="10" style="94" customWidth="1"/>
    <col min="3" max="3" width="2.28515625" style="32" customWidth="1"/>
    <col min="4" max="4" width="25.85546875" style="63" customWidth="1"/>
    <col min="5" max="5" width="2" style="63" customWidth="1"/>
    <col min="6" max="6" width="25" style="63" customWidth="1"/>
    <col min="7" max="7" width="3.7109375" style="63" customWidth="1"/>
    <col min="8" max="256" width="10.85546875" style="32"/>
    <col min="257" max="257" width="50" style="32" customWidth="1"/>
    <col min="258" max="258" width="9" style="32" customWidth="1"/>
    <col min="259" max="259" width="2.28515625" style="32" customWidth="1"/>
    <col min="260" max="260" width="20.7109375" style="32" customWidth="1"/>
    <col min="261" max="261" width="2" style="32" customWidth="1"/>
    <col min="262" max="262" width="20.42578125" style="32" customWidth="1"/>
    <col min="263" max="263" width="3.7109375" style="32" customWidth="1"/>
    <col min="264" max="512" width="10.85546875" style="32"/>
    <col min="513" max="513" width="50" style="32" customWidth="1"/>
    <col min="514" max="514" width="9" style="32" customWidth="1"/>
    <col min="515" max="515" width="2.28515625" style="32" customWidth="1"/>
    <col min="516" max="516" width="20.7109375" style="32" customWidth="1"/>
    <col min="517" max="517" width="2" style="32" customWidth="1"/>
    <col min="518" max="518" width="20.42578125" style="32" customWidth="1"/>
    <col min="519" max="519" width="3.7109375" style="32" customWidth="1"/>
    <col min="520" max="768" width="10.85546875" style="32"/>
    <col min="769" max="769" width="50" style="32" customWidth="1"/>
    <col min="770" max="770" width="9" style="32" customWidth="1"/>
    <col min="771" max="771" width="2.28515625" style="32" customWidth="1"/>
    <col min="772" max="772" width="20.7109375" style="32" customWidth="1"/>
    <col min="773" max="773" width="2" style="32" customWidth="1"/>
    <col min="774" max="774" width="20.42578125" style="32" customWidth="1"/>
    <col min="775" max="775" width="3.7109375" style="32" customWidth="1"/>
    <col min="776" max="1024" width="10.85546875" style="32"/>
    <col min="1025" max="1025" width="50" style="32" customWidth="1"/>
    <col min="1026" max="1026" width="9" style="32" customWidth="1"/>
    <col min="1027" max="1027" width="2.28515625" style="32" customWidth="1"/>
    <col min="1028" max="1028" width="20.7109375" style="32" customWidth="1"/>
    <col min="1029" max="1029" width="2" style="32" customWidth="1"/>
    <col min="1030" max="1030" width="20.42578125" style="32" customWidth="1"/>
    <col min="1031" max="1031" width="3.7109375" style="32" customWidth="1"/>
    <col min="1032" max="1280" width="10.85546875" style="32"/>
    <col min="1281" max="1281" width="50" style="32" customWidth="1"/>
    <col min="1282" max="1282" width="9" style="32" customWidth="1"/>
    <col min="1283" max="1283" width="2.28515625" style="32" customWidth="1"/>
    <col min="1284" max="1284" width="20.7109375" style="32" customWidth="1"/>
    <col min="1285" max="1285" width="2" style="32" customWidth="1"/>
    <col min="1286" max="1286" width="20.42578125" style="32" customWidth="1"/>
    <col min="1287" max="1287" width="3.7109375" style="32" customWidth="1"/>
    <col min="1288" max="1536" width="10.85546875" style="32"/>
    <col min="1537" max="1537" width="50" style="32" customWidth="1"/>
    <col min="1538" max="1538" width="9" style="32" customWidth="1"/>
    <col min="1539" max="1539" width="2.28515625" style="32" customWidth="1"/>
    <col min="1540" max="1540" width="20.7109375" style="32" customWidth="1"/>
    <col min="1541" max="1541" width="2" style="32" customWidth="1"/>
    <col min="1542" max="1542" width="20.42578125" style="32" customWidth="1"/>
    <col min="1543" max="1543" width="3.7109375" style="32" customWidth="1"/>
    <col min="1544" max="1792" width="10.85546875" style="32"/>
    <col min="1793" max="1793" width="50" style="32" customWidth="1"/>
    <col min="1794" max="1794" width="9" style="32" customWidth="1"/>
    <col min="1795" max="1795" width="2.28515625" style="32" customWidth="1"/>
    <col min="1796" max="1796" width="20.7109375" style="32" customWidth="1"/>
    <col min="1797" max="1797" width="2" style="32" customWidth="1"/>
    <col min="1798" max="1798" width="20.42578125" style="32" customWidth="1"/>
    <col min="1799" max="1799" width="3.7109375" style="32" customWidth="1"/>
    <col min="1800" max="2048" width="10.85546875" style="32"/>
    <col min="2049" max="2049" width="50" style="32" customWidth="1"/>
    <col min="2050" max="2050" width="9" style="32" customWidth="1"/>
    <col min="2051" max="2051" width="2.28515625" style="32" customWidth="1"/>
    <col min="2052" max="2052" width="20.7109375" style="32" customWidth="1"/>
    <col min="2053" max="2053" width="2" style="32" customWidth="1"/>
    <col min="2054" max="2054" width="20.42578125" style="32" customWidth="1"/>
    <col min="2055" max="2055" width="3.7109375" style="32" customWidth="1"/>
    <col min="2056" max="2304" width="10.85546875" style="32"/>
    <col min="2305" max="2305" width="50" style="32" customWidth="1"/>
    <col min="2306" max="2306" width="9" style="32" customWidth="1"/>
    <col min="2307" max="2307" width="2.28515625" style="32" customWidth="1"/>
    <col min="2308" max="2308" width="20.7109375" style="32" customWidth="1"/>
    <col min="2309" max="2309" width="2" style="32" customWidth="1"/>
    <col min="2310" max="2310" width="20.42578125" style="32" customWidth="1"/>
    <col min="2311" max="2311" width="3.7109375" style="32" customWidth="1"/>
    <col min="2312" max="2560" width="10.85546875" style="32"/>
    <col min="2561" max="2561" width="50" style="32" customWidth="1"/>
    <col min="2562" max="2562" width="9" style="32" customWidth="1"/>
    <col min="2563" max="2563" width="2.28515625" style="32" customWidth="1"/>
    <col min="2564" max="2564" width="20.7109375" style="32" customWidth="1"/>
    <col min="2565" max="2565" width="2" style="32" customWidth="1"/>
    <col min="2566" max="2566" width="20.42578125" style="32" customWidth="1"/>
    <col min="2567" max="2567" width="3.7109375" style="32" customWidth="1"/>
    <col min="2568" max="2816" width="10.85546875" style="32"/>
    <col min="2817" max="2817" width="50" style="32" customWidth="1"/>
    <col min="2818" max="2818" width="9" style="32" customWidth="1"/>
    <col min="2819" max="2819" width="2.28515625" style="32" customWidth="1"/>
    <col min="2820" max="2820" width="20.7109375" style="32" customWidth="1"/>
    <col min="2821" max="2821" width="2" style="32" customWidth="1"/>
    <col min="2822" max="2822" width="20.42578125" style="32" customWidth="1"/>
    <col min="2823" max="2823" width="3.7109375" style="32" customWidth="1"/>
    <col min="2824" max="3072" width="10.85546875" style="32"/>
    <col min="3073" max="3073" width="50" style="32" customWidth="1"/>
    <col min="3074" max="3074" width="9" style="32" customWidth="1"/>
    <col min="3075" max="3075" width="2.28515625" style="32" customWidth="1"/>
    <col min="3076" max="3076" width="20.7109375" style="32" customWidth="1"/>
    <col min="3077" max="3077" width="2" style="32" customWidth="1"/>
    <col min="3078" max="3078" width="20.42578125" style="32" customWidth="1"/>
    <col min="3079" max="3079" width="3.7109375" style="32" customWidth="1"/>
    <col min="3080" max="3328" width="10.85546875" style="32"/>
    <col min="3329" max="3329" width="50" style="32" customWidth="1"/>
    <col min="3330" max="3330" width="9" style="32" customWidth="1"/>
    <col min="3331" max="3331" width="2.28515625" style="32" customWidth="1"/>
    <col min="3332" max="3332" width="20.7109375" style="32" customWidth="1"/>
    <col min="3333" max="3333" width="2" style="32" customWidth="1"/>
    <col min="3334" max="3334" width="20.42578125" style="32" customWidth="1"/>
    <col min="3335" max="3335" width="3.7109375" style="32" customWidth="1"/>
    <col min="3336" max="3584" width="10.85546875" style="32"/>
    <col min="3585" max="3585" width="50" style="32" customWidth="1"/>
    <col min="3586" max="3586" width="9" style="32" customWidth="1"/>
    <col min="3587" max="3587" width="2.28515625" style="32" customWidth="1"/>
    <col min="3588" max="3588" width="20.7109375" style="32" customWidth="1"/>
    <col min="3589" max="3589" width="2" style="32" customWidth="1"/>
    <col min="3590" max="3590" width="20.42578125" style="32" customWidth="1"/>
    <col min="3591" max="3591" width="3.7109375" style="32" customWidth="1"/>
    <col min="3592" max="3840" width="10.85546875" style="32"/>
    <col min="3841" max="3841" width="50" style="32" customWidth="1"/>
    <col min="3842" max="3842" width="9" style="32" customWidth="1"/>
    <col min="3843" max="3843" width="2.28515625" style="32" customWidth="1"/>
    <col min="3844" max="3844" width="20.7109375" style="32" customWidth="1"/>
    <col min="3845" max="3845" width="2" style="32" customWidth="1"/>
    <col min="3846" max="3846" width="20.42578125" style="32" customWidth="1"/>
    <col min="3847" max="3847" width="3.7109375" style="32" customWidth="1"/>
    <col min="3848" max="4096" width="10.85546875" style="32"/>
    <col min="4097" max="4097" width="50" style="32" customWidth="1"/>
    <col min="4098" max="4098" width="9" style="32" customWidth="1"/>
    <col min="4099" max="4099" width="2.28515625" style="32" customWidth="1"/>
    <col min="4100" max="4100" width="20.7109375" style="32" customWidth="1"/>
    <col min="4101" max="4101" width="2" style="32" customWidth="1"/>
    <col min="4102" max="4102" width="20.42578125" style="32" customWidth="1"/>
    <col min="4103" max="4103" width="3.7109375" style="32" customWidth="1"/>
    <col min="4104" max="4352" width="10.85546875" style="32"/>
    <col min="4353" max="4353" width="50" style="32" customWidth="1"/>
    <col min="4354" max="4354" width="9" style="32" customWidth="1"/>
    <col min="4355" max="4355" width="2.28515625" style="32" customWidth="1"/>
    <col min="4356" max="4356" width="20.7109375" style="32" customWidth="1"/>
    <col min="4357" max="4357" width="2" style="32" customWidth="1"/>
    <col min="4358" max="4358" width="20.42578125" style="32" customWidth="1"/>
    <col min="4359" max="4359" width="3.7109375" style="32" customWidth="1"/>
    <col min="4360" max="4608" width="10.85546875" style="32"/>
    <col min="4609" max="4609" width="50" style="32" customWidth="1"/>
    <col min="4610" max="4610" width="9" style="32" customWidth="1"/>
    <col min="4611" max="4611" width="2.28515625" style="32" customWidth="1"/>
    <col min="4612" max="4612" width="20.7109375" style="32" customWidth="1"/>
    <col min="4613" max="4613" width="2" style="32" customWidth="1"/>
    <col min="4614" max="4614" width="20.42578125" style="32" customWidth="1"/>
    <col min="4615" max="4615" width="3.7109375" style="32" customWidth="1"/>
    <col min="4616" max="4864" width="10.85546875" style="32"/>
    <col min="4865" max="4865" width="50" style="32" customWidth="1"/>
    <col min="4866" max="4866" width="9" style="32" customWidth="1"/>
    <col min="4867" max="4867" width="2.28515625" style="32" customWidth="1"/>
    <col min="4868" max="4868" width="20.7109375" style="32" customWidth="1"/>
    <col min="4869" max="4869" width="2" style="32" customWidth="1"/>
    <col min="4870" max="4870" width="20.42578125" style="32" customWidth="1"/>
    <col min="4871" max="4871" width="3.7109375" style="32" customWidth="1"/>
    <col min="4872" max="5120" width="10.85546875" style="32"/>
    <col min="5121" max="5121" width="50" style="32" customWidth="1"/>
    <col min="5122" max="5122" width="9" style="32" customWidth="1"/>
    <col min="5123" max="5123" width="2.28515625" style="32" customWidth="1"/>
    <col min="5124" max="5124" width="20.7109375" style="32" customWidth="1"/>
    <col min="5125" max="5125" width="2" style="32" customWidth="1"/>
    <col min="5126" max="5126" width="20.42578125" style="32" customWidth="1"/>
    <col min="5127" max="5127" width="3.7109375" style="32" customWidth="1"/>
    <col min="5128" max="5376" width="10.85546875" style="32"/>
    <col min="5377" max="5377" width="50" style="32" customWidth="1"/>
    <col min="5378" max="5378" width="9" style="32" customWidth="1"/>
    <col min="5379" max="5379" width="2.28515625" style="32" customWidth="1"/>
    <col min="5380" max="5380" width="20.7109375" style="32" customWidth="1"/>
    <col min="5381" max="5381" width="2" style="32" customWidth="1"/>
    <col min="5382" max="5382" width="20.42578125" style="32" customWidth="1"/>
    <col min="5383" max="5383" width="3.7109375" style="32" customWidth="1"/>
    <col min="5384" max="5632" width="10.85546875" style="32"/>
    <col min="5633" max="5633" width="50" style="32" customWidth="1"/>
    <col min="5634" max="5634" width="9" style="32" customWidth="1"/>
    <col min="5635" max="5635" width="2.28515625" style="32" customWidth="1"/>
    <col min="5636" max="5636" width="20.7109375" style="32" customWidth="1"/>
    <col min="5637" max="5637" width="2" style="32" customWidth="1"/>
    <col min="5638" max="5638" width="20.42578125" style="32" customWidth="1"/>
    <col min="5639" max="5639" width="3.7109375" style="32" customWidth="1"/>
    <col min="5640" max="5888" width="10.85546875" style="32"/>
    <col min="5889" max="5889" width="50" style="32" customWidth="1"/>
    <col min="5890" max="5890" width="9" style="32" customWidth="1"/>
    <col min="5891" max="5891" width="2.28515625" style="32" customWidth="1"/>
    <col min="5892" max="5892" width="20.7109375" style="32" customWidth="1"/>
    <col min="5893" max="5893" width="2" style="32" customWidth="1"/>
    <col min="5894" max="5894" width="20.42578125" style="32" customWidth="1"/>
    <col min="5895" max="5895" width="3.7109375" style="32" customWidth="1"/>
    <col min="5896" max="6144" width="10.85546875" style="32"/>
    <col min="6145" max="6145" width="50" style="32" customWidth="1"/>
    <col min="6146" max="6146" width="9" style="32" customWidth="1"/>
    <col min="6147" max="6147" width="2.28515625" style="32" customWidth="1"/>
    <col min="6148" max="6148" width="20.7109375" style="32" customWidth="1"/>
    <col min="6149" max="6149" width="2" style="32" customWidth="1"/>
    <col min="6150" max="6150" width="20.42578125" style="32" customWidth="1"/>
    <col min="6151" max="6151" width="3.7109375" style="32" customWidth="1"/>
    <col min="6152" max="6400" width="10.85546875" style="32"/>
    <col min="6401" max="6401" width="50" style="32" customWidth="1"/>
    <col min="6402" max="6402" width="9" style="32" customWidth="1"/>
    <col min="6403" max="6403" width="2.28515625" style="32" customWidth="1"/>
    <col min="6404" max="6404" width="20.7109375" style="32" customWidth="1"/>
    <col min="6405" max="6405" width="2" style="32" customWidth="1"/>
    <col min="6406" max="6406" width="20.42578125" style="32" customWidth="1"/>
    <col min="6407" max="6407" width="3.7109375" style="32" customWidth="1"/>
    <col min="6408" max="6656" width="10.85546875" style="32"/>
    <col min="6657" max="6657" width="50" style="32" customWidth="1"/>
    <col min="6658" max="6658" width="9" style="32" customWidth="1"/>
    <col min="6659" max="6659" width="2.28515625" style="32" customWidth="1"/>
    <col min="6660" max="6660" width="20.7109375" style="32" customWidth="1"/>
    <col min="6661" max="6661" width="2" style="32" customWidth="1"/>
    <col min="6662" max="6662" width="20.42578125" style="32" customWidth="1"/>
    <col min="6663" max="6663" width="3.7109375" style="32" customWidth="1"/>
    <col min="6664" max="6912" width="10.85546875" style="32"/>
    <col min="6913" max="6913" width="50" style="32" customWidth="1"/>
    <col min="6914" max="6914" width="9" style="32" customWidth="1"/>
    <col min="6915" max="6915" width="2.28515625" style="32" customWidth="1"/>
    <col min="6916" max="6916" width="20.7109375" style="32" customWidth="1"/>
    <col min="6917" max="6917" width="2" style="32" customWidth="1"/>
    <col min="6918" max="6918" width="20.42578125" style="32" customWidth="1"/>
    <col min="6919" max="6919" width="3.7109375" style="32" customWidth="1"/>
    <col min="6920" max="7168" width="10.85546875" style="32"/>
    <col min="7169" max="7169" width="50" style="32" customWidth="1"/>
    <col min="7170" max="7170" width="9" style="32" customWidth="1"/>
    <col min="7171" max="7171" width="2.28515625" style="32" customWidth="1"/>
    <col min="7172" max="7172" width="20.7109375" style="32" customWidth="1"/>
    <col min="7173" max="7173" width="2" style="32" customWidth="1"/>
    <col min="7174" max="7174" width="20.42578125" style="32" customWidth="1"/>
    <col min="7175" max="7175" width="3.7109375" style="32" customWidth="1"/>
    <col min="7176" max="7424" width="10.85546875" style="32"/>
    <col min="7425" max="7425" width="50" style="32" customWidth="1"/>
    <col min="7426" max="7426" width="9" style="32" customWidth="1"/>
    <col min="7427" max="7427" width="2.28515625" style="32" customWidth="1"/>
    <col min="7428" max="7428" width="20.7109375" style="32" customWidth="1"/>
    <col min="7429" max="7429" width="2" style="32" customWidth="1"/>
    <col min="7430" max="7430" width="20.42578125" style="32" customWidth="1"/>
    <col min="7431" max="7431" width="3.7109375" style="32" customWidth="1"/>
    <col min="7432" max="7680" width="10.85546875" style="32"/>
    <col min="7681" max="7681" width="50" style="32" customWidth="1"/>
    <col min="7682" max="7682" width="9" style="32" customWidth="1"/>
    <col min="7683" max="7683" width="2.28515625" style="32" customWidth="1"/>
    <col min="7684" max="7684" width="20.7109375" style="32" customWidth="1"/>
    <col min="7685" max="7685" width="2" style="32" customWidth="1"/>
    <col min="7686" max="7686" width="20.42578125" style="32" customWidth="1"/>
    <col min="7687" max="7687" width="3.7109375" style="32" customWidth="1"/>
    <col min="7688" max="7936" width="10.85546875" style="32"/>
    <col min="7937" max="7937" width="50" style="32" customWidth="1"/>
    <col min="7938" max="7938" width="9" style="32" customWidth="1"/>
    <col min="7939" max="7939" width="2.28515625" style="32" customWidth="1"/>
    <col min="7940" max="7940" width="20.7109375" style="32" customWidth="1"/>
    <col min="7941" max="7941" width="2" style="32" customWidth="1"/>
    <col min="7942" max="7942" width="20.42578125" style="32" customWidth="1"/>
    <col min="7943" max="7943" width="3.7109375" style="32" customWidth="1"/>
    <col min="7944" max="8192" width="10.85546875" style="32"/>
    <col min="8193" max="8193" width="50" style="32" customWidth="1"/>
    <col min="8194" max="8194" width="9" style="32" customWidth="1"/>
    <col min="8195" max="8195" width="2.28515625" style="32" customWidth="1"/>
    <col min="8196" max="8196" width="20.7109375" style="32" customWidth="1"/>
    <col min="8197" max="8197" width="2" style="32" customWidth="1"/>
    <col min="8198" max="8198" width="20.42578125" style="32" customWidth="1"/>
    <col min="8199" max="8199" width="3.7109375" style="32" customWidth="1"/>
    <col min="8200" max="8448" width="10.85546875" style="32"/>
    <col min="8449" max="8449" width="50" style="32" customWidth="1"/>
    <col min="8450" max="8450" width="9" style="32" customWidth="1"/>
    <col min="8451" max="8451" width="2.28515625" style="32" customWidth="1"/>
    <col min="8452" max="8452" width="20.7109375" style="32" customWidth="1"/>
    <col min="8453" max="8453" width="2" style="32" customWidth="1"/>
    <col min="8454" max="8454" width="20.42578125" style="32" customWidth="1"/>
    <col min="8455" max="8455" width="3.7109375" style="32" customWidth="1"/>
    <col min="8456" max="8704" width="10.85546875" style="32"/>
    <col min="8705" max="8705" width="50" style="32" customWidth="1"/>
    <col min="8706" max="8706" width="9" style="32" customWidth="1"/>
    <col min="8707" max="8707" width="2.28515625" style="32" customWidth="1"/>
    <col min="8708" max="8708" width="20.7109375" style="32" customWidth="1"/>
    <col min="8709" max="8709" width="2" style="32" customWidth="1"/>
    <col min="8710" max="8710" width="20.42578125" style="32" customWidth="1"/>
    <col min="8711" max="8711" width="3.7109375" style="32" customWidth="1"/>
    <col min="8712" max="8960" width="10.85546875" style="32"/>
    <col min="8961" max="8961" width="50" style="32" customWidth="1"/>
    <col min="8962" max="8962" width="9" style="32" customWidth="1"/>
    <col min="8963" max="8963" width="2.28515625" style="32" customWidth="1"/>
    <col min="8964" max="8964" width="20.7109375" style="32" customWidth="1"/>
    <col min="8965" max="8965" width="2" style="32" customWidth="1"/>
    <col min="8966" max="8966" width="20.42578125" style="32" customWidth="1"/>
    <col min="8967" max="8967" width="3.7109375" style="32" customWidth="1"/>
    <col min="8968" max="9216" width="10.85546875" style="32"/>
    <col min="9217" max="9217" width="50" style="32" customWidth="1"/>
    <col min="9218" max="9218" width="9" style="32" customWidth="1"/>
    <col min="9219" max="9219" width="2.28515625" style="32" customWidth="1"/>
    <col min="9220" max="9220" width="20.7109375" style="32" customWidth="1"/>
    <col min="9221" max="9221" width="2" style="32" customWidth="1"/>
    <col min="9222" max="9222" width="20.42578125" style="32" customWidth="1"/>
    <col min="9223" max="9223" width="3.7109375" style="32" customWidth="1"/>
    <col min="9224" max="9472" width="10.85546875" style="32"/>
    <col min="9473" max="9473" width="50" style="32" customWidth="1"/>
    <col min="9474" max="9474" width="9" style="32" customWidth="1"/>
    <col min="9475" max="9475" width="2.28515625" style="32" customWidth="1"/>
    <col min="9476" max="9476" width="20.7109375" style="32" customWidth="1"/>
    <col min="9477" max="9477" width="2" style="32" customWidth="1"/>
    <col min="9478" max="9478" width="20.42578125" style="32" customWidth="1"/>
    <col min="9479" max="9479" width="3.7109375" style="32" customWidth="1"/>
    <col min="9480" max="9728" width="10.85546875" style="32"/>
    <col min="9729" max="9729" width="50" style="32" customWidth="1"/>
    <col min="9730" max="9730" width="9" style="32" customWidth="1"/>
    <col min="9731" max="9731" width="2.28515625" style="32" customWidth="1"/>
    <col min="9732" max="9732" width="20.7109375" style="32" customWidth="1"/>
    <col min="9733" max="9733" width="2" style="32" customWidth="1"/>
    <col min="9734" max="9734" width="20.42578125" style="32" customWidth="1"/>
    <col min="9735" max="9735" width="3.7109375" style="32" customWidth="1"/>
    <col min="9736" max="9984" width="10.85546875" style="32"/>
    <col min="9985" max="9985" width="50" style="32" customWidth="1"/>
    <col min="9986" max="9986" width="9" style="32" customWidth="1"/>
    <col min="9987" max="9987" width="2.28515625" style="32" customWidth="1"/>
    <col min="9988" max="9988" width="20.7109375" style="32" customWidth="1"/>
    <col min="9989" max="9989" width="2" style="32" customWidth="1"/>
    <col min="9990" max="9990" width="20.42578125" style="32" customWidth="1"/>
    <col min="9991" max="9991" width="3.7109375" style="32" customWidth="1"/>
    <col min="9992" max="10240" width="10.85546875" style="32"/>
    <col min="10241" max="10241" width="50" style="32" customWidth="1"/>
    <col min="10242" max="10242" width="9" style="32" customWidth="1"/>
    <col min="10243" max="10243" width="2.28515625" style="32" customWidth="1"/>
    <col min="10244" max="10244" width="20.7109375" style="32" customWidth="1"/>
    <col min="10245" max="10245" width="2" style="32" customWidth="1"/>
    <col min="10246" max="10246" width="20.42578125" style="32" customWidth="1"/>
    <col min="10247" max="10247" width="3.7109375" style="32" customWidth="1"/>
    <col min="10248" max="10496" width="10.85546875" style="32"/>
    <col min="10497" max="10497" width="50" style="32" customWidth="1"/>
    <col min="10498" max="10498" width="9" style="32" customWidth="1"/>
    <col min="10499" max="10499" width="2.28515625" style="32" customWidth="1"/>
    <col min="10500" max="10500" width="20.7109375" style="32" customWidth="1"/>
    <col min="10501" max="10501" width="2" style="32" customWidth="1"/>
    <col min="10502" max="10502" width="20.42578125" style="32" customWidth="1"/>
    <col min="10503" max="10503" width="3.7109375" style="32" customWidth="1"/>
    <col min="10504" max="10752" width="10.85546875" style="32"/>
    <col min="10753" max="10753" width="50" style="32" customWidth="1"/>
    <col min="10754" max="10754" width="9" style="32" customWidth="1"/>
    <col min="10755" max="10755" width="2.28515625" style="32" customWidth="1"/>
    <col min="10756" max="10756" width="20.7109375" style="32" customWidth="1"/>
    <col min="10757" max="10757" width="2" style="32" customWidth="1"/>
    <col min="10758" max="10758" width="20.42578125" style="32" customWidth="1"/>
    <col min="10759" max="10759" width="3.7109375" style="32" customWidth="1"/>
    <col min="10760" max="11008" width="10.85546875" style="32"/>
    <col min="11009" max="11009" width="50" style="32" customWidth="1"/>
    <col min="11010" max="11010" width="9" style="32" customWidth="1"/>
    <col min="11011" max="11011" width="2.28515625" style="32" customWidth="1"/>
    <col min="11012" max="11012" width="20.7109375" style="32" customWidth="1"/>
    <col min="11013" max="11013" width="2" style="32" customWidth="1"/>
    <col min="11014" max="11014" width="20.42578125" style="32" customWidth="1"/>
    <col min="11015" max="11015" width="3.7109375" style="32" customWidth="1"/>
    <col min="11016" max="11264" width="10.85546875" style="32"/>
    <col min="11265" max="11265" width="50" style="32" customWidth="1"/>
    <col min="11266" max="11266" width="9" style="32" customWidth="1"/>
    <col min="11267" max="11267" width="2.28515625" style="32" customWidth="1"/>
    <col min="11268" max="11268" width="20.7109375" style="32" customWidth="1"/>
    <col min="11269" max="11269" width="2" style="32" customWidth="1"/>
    <col min="11270" max="11270" width="20.42578125" style="32" customWidth="1"/>
    <col min="11271" max="11271" width="3.7109375" style="32" customWidth="1"/>
    <col min="11272" max="11520" width="10.85546875" style="32"/>
    <col min="11521" max="11521" width="50" style="32" customWidth="1"/>
    <col min="11522" max="11522" width="9" style="32" customWidth="1"/>
    <col min="11523" max="11523" width="2.28515625" style="32" customWidth="1"/>
    <col min="11524" max="11524" width="20.7109375" style="32" customWidth="1"/>
    <col min="11525" max="11525" width="2" style="32" customWidth="1"/>
    <col min="11526" max="11526" width="20.42578125" style="32" customWidth="1"/>
    <col min="11527" max="11527" width="3.7109375" style="32" customWidth="1"/>
    <col min="11528" max="11776" width="10.85546875" style="32"/>
    <col min="11777" max="11777" width="50" style="32" customWidth="1"/>
    <col min="11778" max="11778" width="9" style="32" customWidth="1"/>
    <col min="11779" max="11779" width="2.28515625" style="32" customWidth="1"/>
    <col min="11780" max="11780" width="20.7109375" style="32" customWidth="1"/>
    <col min="11781" max="11781" width="2" style="32" customWidth="1"/>
    <col min="11782" max="11782" width="20.42578125" style="32" customWidth="1"/>
    <col min="11783" max="11783" width="3.7109375" style="32" customWidth="1"/>
    <col min="11784" max="12032" width="10.85546875" style="32"/>
    <col min="12033" max="12033" width="50" style="32" customWidth="1"/>
    <col min="12034" max="12034" width="9" style="32" customWidth="1"/>
    <col min="12035" max="12035" width="2.28515625" style="32" customWidth="1"/>
    <col min="12036" max="12036" width="20.7109375" style="32" customWidth="1"/>
    <col min="12037" max="12037" width="2" style="32" customWidth="1"/>
    <col min="12038" max="12038" width="20.42578125" style="32" customWidth="1"/>
    <col min="12039" max="12039" width="3.7109375" style="32" customWidth="1"/>
    <col min="12040" max="12288" width="10.85546875" style="32"/>
    <col min="12289" max="12289" width="50" style="32" customWidth="1"/>
    <col min="12290" max="12290" width="9" style="32" customWidth="1"/>
    <col min="12291" max="12291" width="2.28515625" style="32" customWidth="1"/>
    <col min="12292" max="12292" width="20.7109375" style="32" customWidth="1"/>
    <col min="12293" max="12293" width="2" style="32" customWidth="1"/>
    <col min="12294" max="12294" width="20.42578125" style="32" customWidth="1"/>
    <col min="12295" max="12295" width="3.7109375" style="32" customWidth="1"/>
    <col min="12296" max="12544" width="10.85546875" style="32"/>
    <col min="12545" max="12545" width="50" style="32" customWidth="1"/>
    <col min="12546" max="12546" width="9" style="32" customWidth="1"/>
    <col min="12547" max="12547" width="2.28515625" style="32" customWidth="1"/>
    <col min="12548" max="12548" width="20.7109375" style="32" customWidth="1"/>
    <col min="12549" max="12549" width="2" style="32" customWidth="1"/>
    <col min="12550" max="12550" width="20.42578125" style="32" customWidth="1"/>
    <col min="12551" max="12551" width="3.7109375" style="32" customWidth="1"/>
    <col min="12552" max="12800" width="10.85546875" style="32"/>
    <col min="12801" max="12801" width="50" style="32" customWidth="1"/>
    <col min="12802" max="12802" width="9" style="32" customWidth="1"/>
    <col min="12803" max="12803" width="2.28515625" style="32" customWidth="1"/>
    <col min="12804" max="12804" width="20.7109375" style="32" customWidth="1"/>
    <col min="12805" max="12805" width="2" style="32" customWidth="1"/>
    <col min="12806" max="12806" width="20.42578125" style="32" customWidth="1"/>
    <col min="12807" max="12807" width="3.7109375" style="32" customWidth="1"/>
    <col min="12808" max="13056" width="10.85546875" style="32"/>
    <col min="13057" max="13057" width="50" style="32" customWidth="1"/>
    <col min="13058" max="13058" width="9" style="32" customWidth="1"/>
    <col min="13059" max="13059" width="2.28515625" style="32" customWidth="1"/>
    <col min="13060" max="13060" width="20.7109375" style="32" customWidth="1"/>
    <col min="13061" max="13061" width="2" style="32" customWidth="1"/>
    <col min="13062" max="13062" width="20.42578125" style="32" customWidth="1"/>
    <col min="13063" max="13063" width="3.7109375" style="32" customWidth="1"/>
    <col min="13064" max="13312" width="10.85546875" style="32"/>
    <col min="13313" max="13313" width="50" style="32" customWidth="1"/>
    <col min="13314" max="13314" width="9" style="32" customWidth="1"/>
    <col min="13315" max="13315" width="2.28515625" style="32" customWidth="1"/>
    <col min="13316" max="13316" width="20.7109375" style="32" customWidth="1"/>
    <col min="13317" max="13317" width="2" style="32" customWidth="1"/>
    <col min="13318" max="13318" width="20.42578125" style="32" customWidth="1"/>
    <col min="13319" max="13319" width="3.7109375" style="32" customWidth="1"/>
    <col min="13320" max="13568" width="10.85546875" style="32"/>
    <col min="13569" max="13569" width="50" style="32" customWidth="1"/>
    <col min="13570" max="13570" width="9" style="32" customWidth="1"/>
    <col min="13571" max="13571" width="2.28515625" style="32" customWidth="1"/>
    <col min="13572" max="13572" width="20.7109375" style="32" customWidth="1"/>
    <col min="13573" max="13573" width="2" style="32" customWidth="1"/>
    <col min="13574" max="13574" width="20.42578125" style="32" customWidth="1"/>
    <col min="13575" max="13575" width="3.7109375" style="32" customWidth="1"/>
    <col min="13576" max="13824" width="10.85546875" style="32"/>
    <col min="13825" max="13825" width="50" style="32" customWidth="1"/>
    <col min="13826" max="13826" width="9" style="32" customWidth="1"/>
    <col min="13827" max="13827" width="2.28515625" style="32" customWidth="1"/>
    <col min="13828" max="13828" width="20.7109375" style="32" customWidth="1"/>
    <col min="13829" max="13829" width="2" style="32" customWidth="1"/>
    <col min="13830" max="13830" width="20.42578125" style="32" customWidth="1"/>
    <col min="13831" max="13831" width="3.7109375" style="32" customWidth="1"/>
    <col min="13832" max="14080" width="10.85546875" style="32"/>
    <col min="14081" max="14081" width="50" style="32" customWidth="1"/>
    <col min="14082" max="14082" width="9" style="32" customWidth="1"/>
    <col min="14083" max="14083" width="2.28515625" style="32" customWidth="1"/>
    <col min="14084" max="14084" width="20.7109375" style="32" customWidth="1"/>
    <col min="14085" max="14085" width="2" style="32" customWidth="1"/>
    <col min="14086" max="14086" width="20.42578125" style="32" customWidth="1"/>
    <col min="14087" max="14087" width="3.7109375" style="32" customWidth="1"/>
    <col min="14088" max="14336" width="10.85546875" style="32"/>
    <col min="14337" max="14337" width="50" style="32" customWidth="1"/>
    <col min="14338" max="14338" width="9" style="32" customWidth="1"/>
    <col min="14339" max="14339" width="2.28515625" style="32" customWidth="1"/>
    <col min="14340" max="14340" width="20.7109375" style="32" customWidth="1"/>
    <col min="14341" max="14341" width="2" style="32" customWidth="1"/>
    <col min="14342" max="14342" width="20.42578125" style="32" customWidth="1"/>
    <col min="14343" max="14343" width="3.7109375" style="32" customWidth="1"/>
    <col min="14344" max="14592" width="10.85546875" style="32"/>
    <col min="14593" max="14593" width="50" style="32" customWidth="1"/>
    <col min="14594" max="14594" width="9" style="32" customWidth="1"/>
    <col min="14595" max="14595" width="2.28515625" style="32" customWidth="1"/>
    <col min="14596" max="14596" width="20.7109375" style="32" customWidth="1"/>
    <col min="14597" max="14597" width="2" style="32" customWidth="1"/>
    <col min="14598" max="14598" width="20.42578125" style="32" customWidth="1"/>
    <col min="14599" max="14599" width="3.7109375" style="32" customWidth="1"/>
    <col min="14600" max="14848" width="10.85546875" style="32"/>
    <col min="14849" max="14849" width="50" style="32" customWidth="1"/>
    <col min="14850" max="14850" width="9" style="32" customWidth="1"/>
    <col min="14851" max="14851" width="2.28515625" style="32" customWidth="1"/>
    <col min="14852" max="14852" width="20.7109375" style="32" customWidth="1"/>
    <col min="14853" max="14853" width="2" style="32" customWidth="1"/>
    <col min="14854" max="14854" width="20.42578125" style="32" customWidth="1"/>
    <col min="14855" max="14855" width="3.7109375" style="32" customWidth="1"/>
    <col min="14856" max="15104" width="10.85546875" style="32"/>
    <col min="15105" max="15105" width="50" style="32" customWidth="1"/>
    <col min="15106" max="15106" width="9" style="32" customWidth="1"/>
    <col min="15107" max="15107" width="2.28515625" style="32" customWidth="1"/>
    <col min="15108" max="15108" width="20.7109375" style="32" customWidth="1"/>
    <col min="15109" max="15109" width="2" style="32" customWidth="1"/>
    <col min="15110" max="15110" width="20.42578125" style="32" customWidth="1"/>
    <col min="15111" max="15111" width="3.7109375" style="32" customWidth="1"/>
    <col min="15112" max="15360" width="10.85546875" style="32"/>
    <col min="15361" max="15361" width="50" style="32" customWidth="1"/>
    <col min="15362" max="15362" width="9" style="32" customWidth="1"/>
    <col min="15363" max="15363" width="2.28515625" style="32" customWidth="1"/>
    <col min="15364" max="15364" width="20.7109375" style="32" customWidth="1"/>
    <col min="15365" max="15365" width="2" style="32" customWidth="1"/>
    <col min="15366" max="15366" width="20.42578125" style="32" customWidth="1"/>
    <col min="15367" max="15367" width="3.7109375" style="32" customWidth="1"/>
    <col min="15368" max="15616" width="10.85546875" style="32"/>
    <col min="15617" max="15617" width="50" style="32" customWidth="1"/>
    <col min="15618" max="15618" width="9" style="32" customWidth="1"/>
    <col min="15619" max="15619" width="2.28515625" style="32" customWidth="1"/>
    <col min="15620" max="15620" width="20.7109375" style="32" customWidth="1"/>
    <col min="15621" max="15621" width="2" style="32" customWidth="1"/>
    <col min="15622" max="15622" width="20.42578125" style="32" customWidth="1"/>
    <col min="15623" max="15623" width="3.7109375" style="32" customWidth="1"/>
    <col min="15624" max="15872" width="10.85546875" style="32"/>
    <col min="15873" max="15873" width="50" style="32" customWidth="1"/>
    <col min="15874" max="15874" width="9" style="32" customWidth="1"/>
    <col min="15875" max="15875" width="2.28515625" style="32" customWidth="1"/>
    <col min="15876" max="15876" width="20.7109375" style="32" customWidth="1"/>
    <col min="15877" max="15877" width="2" style="32" customWidth="1"/>
    <col min="15878" max="15878" width="20.42578125" style="32" customWidth="1"/>
    <col min="15879" max="15879" width="3.7109375" style="32" customWidth="1"/>
    <col min="15880" max="16128" width="10.85546875" style="32"/>
    <col min="16129" max="16129" width="50" style="32" customWidth="1"/>
    <col min="16130" max="16130" width="9" style="32" customWidth="1"/>
    <col min="16131" max="16131" width="2.28515625" style="32" customWidth="1"/>
    <col min="16132" max="16132" width="20.7109375" style="32" customWidth="1"/>
    <col min="16133" max="16133" width="2" style="32" customWidth="1"/>
    <col min="16134" max="16134" width="20.42578125" style="32" customWidth="1"/>
    <col min="16135" max="16135" width="3.7109375" style="32" customWidth="1"/>
    <col min="16136" max="16384" width="10.85546875" style="32"/>
  </cols>
  <sheetData>
    <row r="1" spans="1:7" ht="15" x14ac:dyDescent="0.25">
      <c r="A1" s="1064" t="s">
        <v>3402</v>
      </c>
      <c r="B1" s="1064"/>
      <c r="C1" s="1064"/>
      <c r="D1" s="1064"/>
      <c r="E1" s="1064"/>
      <c r="F1" s="1064"/>
    </row>
    <row r="2" spans="1:7" ht="15" x14ac:dyDescent="0.25">
      <c r="A2" s="1064" t="s">
        <v>3399</v>
      </c>
      <c r="B2" s="1064"/>
      <c r="C2" s="1064"/>
      <c r="D2" s="1064"/>
      <c r="E2" s="1064"/>
      <c r="F2" s="1064"/>
    </row>
    <row r="3" spans="1:7" ht="15" x14ac:dyDescent="0.25">
      <c r="A3" s="1064" t="s">
        <v>3400</v>
      </c>
      <c r="B3" s="1064"/>
      <c r="C3" s="1064"/>
      <c r="D3" s="1064"/>
      <c r="E3" s="1064"/>
      <c r="F3" s="1064"/>
    </row>
    <row r="4" spans="1:7" ht="15" x14ac:dyDescent="0.25">
      <c r="A4" s="70"/>
      <c r="B4" s="73"/>
      <c r="C4" s="70"/>
      <c r="D4" s="415"/>
      <c r="E4" s="415"/>
      <c r="F4" s="415"/>
    </row>
    <row r="5" spans="1:7" ht="15" x14ac:dyDescent="0.25">
      <c r="A5" s="1064" t="s">
        <v>3401</v>
      </c>
      <c r="B5" s="1064"/>
      <c r="C5" s="1064"/>
      <c r="D5" s="1064"/>
      <c r="E5" s="1064"/>
      <c r="F5" s="1064"/>
    </row>
    <row r="6" spans="1:7" ht="15" x14ac:dyDescent="0.25">
      <c r="A6" s="1064" t="s">
        <v>3444</v>
      </c>
      <c r="B6" s="1064"/>
      <c r="C6" s="1064"/>
      <c r="D6" s="1064"/>
      <c r="E6" s="1064"/>
      <c r="F6" s="1064"/>
      <c r="G6" s="65"/>
    </row>
    <row r="7" spans="1:7" ht="15" customHeight="1" x14ac:dyDescent="0.25">
      <c r="A7" s="1064" t="s">
        <v>3534</v>
      </c>
      <c r="B7" s="1064"/>
      <c r="C7" s="1064"/>
      <c r="D7" s="1064"/>
      <c r="E7" s="1064"/>
      <c r="F7" s="1064"/>
      <c r="G7" s="65"/>
    </row>
    <row r="8" spans="1:7" ht="15" x14ac:dyDescent="0.25">
      <c r="A8" s="62"/>
      <c r="B8" s="66"/>
      <c r="C8" s="66"/>
      <c r="D8" s="64"/>
      <c r="E8" s="64"/>
      <c r="F8" s="67"/>
      <c r="G8" s="65"/>
    </row>
    <row r="9" spans="1:7" ht="15.75" thickBot="1" x14ac:dyDescent="0.3">
      <c r="A9" s="62"/>
      <c r="B9" s="66" t="s">
        <v>343</v>
      </c>
      <c r="C9" s="66"/>
      <c r="D9" s="166">
        <v>2017</v>
      </c>
      <c r="E9" s="167"/>
      <c r="F9" s="166">
        <v>2016</v>
      </c>
      <c r="G9" s="69"/>
    </row>
    <row r="10" spans="1:7" ht="15" x14ac:dyDescent="0.25">
      <c r="A10" s="62"/>
      <c r="B10" s="66"/>
      <c r="C10" s="66"/>
      <c r="D10" s="68"/>
      <c r="E10" s="68"/>
      <c r="F10" s="68"/>
      <c r="G10" s="69"/>
    </row>
    <row r="11" spans="1:7" ht="15" x14ac:dyDescent="0.25">
      <c r="A11" s="70" t="s">
        <v>1765</v>
      </c>
      <c r="B11" s="71"/>
      <c r="C11" s="71"/>
      <c r="D11" s="72"/>
      <c r="E11" s="72"/>
      <c r="F11" s="72"/>
      <c r="G11" s="69"/>
    </row>
    <row r="12" spans="1:7" ht="15" x14ac:dyDescent="0.25">
      <c r="A12" s="70"/>
      <c r="B12" s="71"/>
      <c r="C12" s="71"/>
      <c r="D12" s="72"/>
      <c r="E12" s="72"/>
      <c r="F12" s="72"/>
      <c r="G12" s="69"/>
    </row>
    <row r="13" spans="1:7" ht="15" x14ac:dyDescent="0.25">
      <c r="A13" s="70" t="s">
        <v>1766</v>
      </c>
      <c r="B13" s="73"/>
      <c r="C13" s="73"/>
      <c r="D13" s="74"/>
      <c r="E13" s="74"/>
      <c r="F13" s="74"/>
      <c r="G13" s="69"/>
    </row>
    <row r="14" spans="1:7" ht="14.25" x14ac:dyDescent="0.2">
      <c r="A14" s="62" t="s">
        <v>344</v>
      </c>
      <c r="B14" s="75">
        <v>3</v>
      </c>
      <c r="C14" s="75"/>
      <c r="D14" s="74">
        <v>1328175726.24</v>
      </c>
      <c r="E14" s="74"/>
      <c r="F14" s="74">
        <v>1228468850.02</v>
      </c>
      <c r="G14" s="77"/>
    </row>
    <row r="15" spans="1:7" ht="14.25" x14ac:dyDescent="0.2">
      <c r="A15" s="62" t="s">
        <v>1428</v>
      </c>
      <c r="B15" s="75">
        <v>4</v>
      </c>
      <c r="C15" s="75"/>
      <c r="D15" s="74">
        <v>2970592718.5599999</v>
      </c>
      <c r="E15" s="74"/>
      <c r="F15" s="74">
        <v>4313836549.2799997</v>
      </c>
      <c r="G15" s="77"/>
    </row>
    <row r="16" spans="1:7" ht="14.25" x14ac:dyDescent="0.2">
      <c r="A16" s="62" t="s">
        <v>4155</v>
      </c>
      <c r="B16" s="75">
        <v>5</v>
      </c>
      <c r="C16" s="75"/>
      <c r="D16" s="74">
        <v>87163639111.580002</v>
      </c>
      <c r="E16" s="74"/>
      <c r="F16" s="74">
        <v>75000575641.369995</v>
      </c>
      <c r="G16" s="69"/>
    </row>
    <row r="17" spans="1:7" ht="14.25" x14ac:dyDescent="0.2">
      <c r="A17" s="71" t="s">
        <v>3412</v>
      </c>
      <c r="B17" s="75">
        <v>6</v>
      </c>
      <c r="C17" s="75"/>
      <c r="D17" s="74">
        <v>4044105882.2800002</v>
      </c>
      <c r="E17" s="74"/>
      <c r="F17" s="74">
        <v>4358982384.9899998</v>
      </c>
      <c r="G17" s="69"/>
    </row>
    <row r="18" spans="1:7" ht="14.25" x14ac:dyDescent="0.2">
      <c r="A18" s="71" t="s">
        <v>3413</v>
      </c>
      <c r="B18" s="75">
        <v>7</v>
      </c>
      <c r="C18" s="75"/>
      <c r="D18" s="74">
        <v>635160382.53999996</v>
      </c>
      <c r="E18" s="74"/>
      <c r="F18" s="74">
        <v>557849772.70000005</v>
      </c>
      <c r="G18" s="69"/>
    </row>
    <row r="19" spans="1:7" ht="14.25" x14ac:dyDescent="0.2">
      <c r="A19" s="62" t="s">
        <v>521</v>
      </c>
      <c r="B19" s="75">
        <v>8</v>
      </c>
      <c r="C19" s="75"/>
      <c r="D19" s="74">
        <v>860482415.60000002</v>
      </c>
      <c r="E19" s="76"/>
      <c r="F19" s="76">
        <v>1827176686.55</v>
      </c>
      <c r="G19" s="69"/>
    </row>
    <row r="20" spans="1:7" ht="14.25" x14ac:dyDescent="0.2">
      <c r="A20" s="71" t="s">
        <v>3414</v>
      </c>
      <c r="B20" s="75">
        <v>9</v>
      </c>
      <c r="C20" s="75"/>
      <c r="D20" s="74">
        <v>690550304.98000002</v>
      </c>
      <c r="E20" s="74"/>
      <c r="F20" s="74">
        <v>666288856.16999996</v>
      </c>
      <c r="G20" s="69"/>
    </row>
    <row r="21" spans="1:7" ht="14.25" x14ac:dyDescent="0.2">
      <c r="A21" s="62" t="s">
        <v>345</v>
      </c>
      <c r="B21" s="75">
        <v>10</v>
      </c>
      <c r="C21" s="75"/>
      <c r="D21" s="78">
        <v>0</v>
      </c>
      <c r="E21" s="78"/>
      <c r="F21" s="78">
        <v>580151838.58000004</v>
      </c>
      <c r="G21" s="79"/>
    </row>
    <row r="22" spans="1:7" ht="14.25" x14ac:dyDescent="0.2">
      <c r="A22" s="62" t="s">
        <v>469</v>
      </c>
      <c r="B22" s="75">
        <v>11</v>
      </c>
      <c r="C22" s="75"/>
      <c r="D22" s="80">
        <v>697661122.15999997</v>
      </c>
      <c r="E22" s="81"/>
      <c r="F22" s="80">
        <v>696965262.77999997</v>
      </c>
      <c r="G22" s="69"/>
    </row>
    <row r="23" spans="1:7" ht="15" x14ac:dyDescent="0.25">
      <c r="A23" s="82" t="s">
        <v>4161</v>
      </c>
      <c r="B23" s="75"/>
      <c r="C23" s="75"/>
      <c r="D23" s="83">
        <f>SUM(D14:D22)</f>
        <v>98390367663.940002</v>
      </c>
      <c r="E23" s="78"/>
      <c r="F23" s="83">
        <f>SUM(F14:F22)</f>
        <v>89230295842.440002</v>
      </c>
      <c r="G23" s="69"/>
    </row>
    <row r="24" spans="1:7" ht="14.25" x14ac:dyDescent="0.2">
      <c r="A24" s="62"/>
      <c r="B24" s="75"/>
      <c r="C24" s="75"/>
      <c r="D24" s="78"/>
      <c r="E24" s="78"/>
      <c r="F24" s="78"/>
      <c r="G24" s="69"/>
    </row>
    <row r="25" spans="1:7" ht="15" x14ac:dyDescent="0.25">
      <c r="A25" s="70" t="s">
        <v>4183</v>
      </c>
      <c r="B25" s="75"/>
      <c r="C25" s="75"/>
      <c r="D25" s="78" t="s">
        <v>468</v>
      </c>
      <c r="E25" s="78"/>
      <c r="F25" s="78" t="s">
        <v>468</v>
      </c>
      <c r="G25" s="69"/>
    </row>
    <row r="26" spans="1:7" ht="14.25" x14ac:dyDescent="0.2">
      <c r="A26" s="62" t="s">
        <v>4118</v>
      </c>
      <c r="B26" s="75">
        <v>12</v>
      </c>
      <c r="C26" s="75"/>
      <c r="D26" s="84">
        <v>49287685702.690002</v>
      </c>
      <c r="E26" s="76"/>
      <c r="F26" s="84">
        <v>45948180331.849998</v>
      </c>
      <c r="G26" s="69"/>
    </row>
    <row r="27" spans="1:7" ht="14.25" x14ac:dyDescent="0.2">
      <c r="A27" s="62" t="s">
        <v>4119</v>
      </c>
      <c r="B27" s="75">
        <v>12</v>
      </c>
      <c r="C27" s="75"/>
      <c r="D27" s="78">
        <v>1108850350.78</v>
      </c>
      <c r="E27" s="74"/>
      <c r="F27" s="78">
        <v>1210089137.02</v>
      </c>
      <c r="G27" s="69"/>
    </row>
    <row r="28" spans="1:7" ht="14.25" x14ac:dyDescent="0.2">
      <c r="A28" s="62" t="s">
        <v>4120</v>
      </c>
      <c r="B28" s="75">
        <v>12</v>
      </c>
      <c r="C28" s="75"/>
      <c r="D28" s="78">
        <v>46632648489.519997</v>
      </c>
      <c r="E28" s="74"/>
      <c r="F28" s="78">
        <v>42169817002.5</v>
      </c>
      <c r="G28" s="69"/>
    </row>
    <row r="29" spans="1:7" ht="14.25" x14ac:dyDescent="0.2">
      <c r="A29" s="62" t="s">
        <v>472</v>
      </c>
      <c r="B29" s="75">
        <v>12</v>
      </c>
      <c r="C29" s="75"/>
      <c r="D29" s="78">
        <v>8663706166.5100002</v>
      </c>
      <c r="E29" s="74"/>
      <c r="F29" s="78">
        <v>8663706166.5100002</v>
      </c>
      <c r="G29" s="51"/>
    </row>
    <row r="30" spans="1:7" ht="14.25" x14ac:dyDescent="0.2">
      <c r="A30" s="62" t="s">
        <v>1767</v>
      </c>
      <c r="B30" s="75">
        <v>12</v>
      </c>
      <c r="C30" s="75"/>
      <c r="D30" s="74">
        <v>8441850950.5500002</v>
      </c>
      <c r="E30" s="74"/>
      <c r="F30" s="74">
        <v>4071950568.9499998</v>
      </c>
      <c r="G30" s="51"/>
    </row>
    <row r="31" spans="1:7" ht="14.25" x14ac:dyDescent="0.2">
      <c r="A31" s="71" t="s">
        <v>4156</v>
      </c>
      <c r="B31" s="75">
        <v>13</v>
      </c>
      <c r="C31" s="75"/>
      <c r="D31" s="74">
        <v>5540940302.25</v>
      </c>
      <c r="E31" s="74"/>
      <c r="F31" s="74">
        <v>0</v>
      </c>
      <c r="G31" s="51"/>
    </row>
    <row r="32" spans="1:7" ht="15" x14ac:dyDescent="0.25">
      <c r="A32" s="82" t="s">
        <v>4182</v>
      </c>
      <c r="B32" s="85"/>
      <c r="C32" s="85"/>
      <c r="D32" s="86">
        <f>SUM(D26:D31)</f>
        <v>119675681962.29999</v>
      </c>
      <c r="E32" s="87"/>
      <c r="F32" s="86">
        <f>SUM(F26:F31)</f>
        <v>102063743206.82999</v>
      </c>
      <c r="G32" s="22"/>
    </row>
    <row r="33" spans="1:7" ht="15" x14ac:dyDescent="0.25">
      <c r="A33" s="70"/>
      <c r="B33" s="85"/>
      <c r="C33" s="85"/>
      <c r="D33" s="87"/>
      <c r="E33" s="87"/>
      <c r="F33" s="87"/>
      <c r="G33" s="69"/>
    </row>
    <row r="34" spans="1:7" ht="15" x14ac:dyDescent="0.25">
      <c r="A34" s="70" t="s">
        <v>945</v>
      </c>
      <c r="B34" s="85"/>
      <c r="C34" s="85"/>
      <c r="D34" s="87"/>
      <c r="E34" s="87"/>
      <c r="F34" s="87"/>
      <c r="G34" s="69"/>
    </row>
    <row r="35" spans="1:7" ht="15" x14ac:dyDescent="0.25">
      <c r="A35" s="62" t="s">
        <v>522</v>
      </c>
      <c r="B35" s="75">
        <v>12</v>
      </c>
      <c r="C35" s="75"/>
      <c r="D35" s="74">
        <v>15089040</v>
      </c>
      <c r="E35" s="87"/>
      <c r="F35" s="74">
        <v>15089040</v>
      </c>
      <c r="G35" s="77"/>
    </row>
    <row r="36" spans="1:7" ht="14.25" x14ac:dyDescent="0.2">
      <c r="A36" s="62" t="s">
        <v>473</v>
      </c>
      <c r="B36" s="75">
        <v>12</v>
      </c>
      <c r="C36" s="75"/>
      <c r="D36" s="74">
        <v>76670476.049999997</v>
      </c>
      <c r="E36" s="74"/>
      <c r="F36" s="74">
        <v>70668886.049999997</v>
      </c>
      <c r="G36" s="69"/>
    </row>
    <row r="37" spans="1:7" ht="14.25" x14ac:dyDescent="0.2">
      <c r="A37" s="62" t="s">
        <v>474</v>
      </c>
      <c r="B37" s="75">
        <v>14</v>
      </c>
      <c r="C37" s="75"/>
      <c r="D37" s="74">
        <v>124658240</v>
      </c>
      <c r="E37" s="74"/>
      <c r="F37" s="74">
        <v>118070750</v>
      </c>
      <c r="G37" s="69"/>
    </row>
    <row r="38" spans="1:7" ht="14.25" x14ac:dyDescent="0.2">
      <c r="A38" s="88" t="s">
        <v>4121</v>
      </c>
      <c r="B38" s="89">
        <v>12</v>
      </c>
      <c r="C38" s="89"/>
      <c r="D38" s="76">
        <v>172840505.65000001</v>
      </c>
      <c r="E38" s="76"/>
      <c r="F38" s="76">
        <v>270301379.87</v>
      </c>
      <c r="G38" s="69"/>
    </row>
    <row r="39" spans="1:7" ht="14.25" x14ac:dyDescent="0.2">
      <c r="A39" s="62" t="s">
        <v>2663</v>
      </c>
      <c r="B39" s="75">
        <v>12</v>
      </c>
      <c r="C39" s="75"/>
      <c r="D39" s="81">
        <v>43169915</v>
      </c>
      <c r="E39" s="81"/>
      <c r="F39" s="81">
        <v>0</v>
      </c>
      <c r="G39" s="51"/>
    </row>
    <row r="40" spans="1:7" ht="15" x14ac:dyDescent="0.25">
      <c r="A40" s="82" t="s">
        <v>4163</v>
      </c>
      <c r="B40" s="75"/>
      <c r="C40" s="75"/>
      <c r="D40" s="86">
        <f>SUM(D35:D39)</f>
        <v>432428176.70000005</v>
      </c>
      <c r="E40" s="74"/>
      <c r="F40" s="86">
        <f>SUM(F35:F39)</f>
        <v>474130055.92000002</v>
      </c>
      <c r="G40" s="69"/>
    </row>
    <row r="41" spans="1:7" ht="15" x14ac:dyDescent="0.25">
      <c r="A41" s="70"/>
      <c r="B41" s="85"/>
      <c r="C41" s="85"/>
      <c r="D41" s="74"/>
      <c r="E41" s="74"/>
      <c r="F41" s="74"/>
      <c r="G41" s="22"/>
    </row>
    <row r="42" spans="1:7" ht="15.75" thickBot="1" x14ac:dyDescent="0.3">
      <c r="A42" s="82" t="s">
        <v>4164</v>
      </c>
      <c r="B42" s="85"/>
      <c r="C42" s="85"/>
      <c r="D42" s="90">
        <f>D23+D32+D40</f>
        <v>218498477802.94</v>
      </c>
      <c r="E42" s="87"/>
      <c r="F42" s="90">
        <f>F23+F32+F40</f>
        <v>191768169105.19</v>
      </c>
      <c r="G42" s="22"/>
    </row>
    <row r="43" spans="1:7" ht="15.75" thickTop="1" x14ac:dyDescent="0.25">
      <c r="A43" s="70"/>
      <c r="B43" s="85"/>
      <c r="C43" s="85"/>
      <c r="D43" s="87"/>
      <c r="E43" s="87"/>
      <c r="F43" s="87"/>
      <c r="G43" s="91"/>
    </row>
    <row r="44" spans="1:7" ht="15" x14ac:dyDescent="0.25">
      <c r="A44" s="70"/>
      <c r="B44" s="85"/>
      <c r="C44" s="85"/>
      <c r="D44" s="87"/>
      <c r="E44" s="87"/>
      <c r="F44" s="87"/>
      <c r="G44" s="91"/>
    </row>
    <row r="45" spans="1:7" ht="15" x14ac:dyDescent="0.25">
      <c r="A45" s="70"/>
      <c r="B45" s="85"/>
      <c r="C45" s="85"/>
      <c r="D45" s="87"/>
      <c r="E45" s="87"/>
      <c r="F45" s="87"/>
      <c r="G45" s="91"/>
    </row>
    <row r="46" spans="1:7" ht="15" x14ac:dyDescent="0.25">
      <c r="A46" s="70"/>
      <c r="B46" s="85"/>
      <c r="C46" s="85"/>
      <c r="D46" s="87"/>
      <c r="E46" s="87"/>
      <c r="F46" s="87"/>
      <c r="G46" s="91"/>
    </row>
    <row r="47" spans="1:7" ht="15" x14ac:dyDescent="0.25">
      <c r="A47" s="70"/>
      <c r="B47" s="85"/>
      <c r="C47" s="85"/>
      <c r="D47" s="87"/>
      <c r="E47" s="87"/>
      <c r="F47" s="87"/>
      <c r="G47" s="91"/>
    </row>
    <row r="48" spans="1:7" ht="15" x14ac:dyDescent="0.25">
      <c r="A48" s="70" t="s">
        <v>468</v>
      </c>
      <c r="B48" s="85"/>
      <c r="C48" s="85"/>
      <c r="D48" s="87" t="s">
        <v>468</v>
      </c>
      <c r="E48" s="87"/>
      <c r="F48" s="87" t="s">
        <v>468</v>
      </c>
      <c r="G48" s="22"/>
    </row>
    <row r="49" spans="1:7" ht="15" x14ac:dyDescent="0.25">
      <c r="A49" s="70"/>
      <c r="B49" s="85"/>
      <c r="C49" s="85"/>
      <c r="D49" s="87"/>
      <c r="E49" s="87"/>
      <c r="F49" s="87"/>
      <c r="G49" s="22"/>
    </row>
    <row r="50" spans="1:7" ht="15" x14ac:dyDescent="0.25">
      <c r="A50" s="70"/>
      <c r="B50" s="85"/>
      <c r="C50" s="85"/>
      <c r="D50" s="87"/>
      <c r="E50" s="87"/>
      <c r="F50" s="87"/>
      <c r="G50" s="22"/>
    </row>
    <row r="51" spans="1:7" ht="15" x14ac:dyDescent="0.25">
      <c r="A51" s="70"/>
      <c r="B51" s="85"/>
      <c r="C51" s="85"/>
      <c r="D51" s="87"/>
      <c r="E51" s="87"/>
      <c r="F51" s="87"/>
      <c r="G51" s="22"/>
    </row>
    <row r="52" spans="1:7" ht="15" x14ac:dyDescent="0.25">
      <c r="A52" s="70"/>
      <c r="B52" s="75"/>
      <c r="C52" s="75"/>
      <c r="D52" s="64"/>
      <c r="E52" s="64"/>
      <c r="F52" s="64"/>
      <c r="G52" s="92"/>
    </row>
    <row r="53" spans="1:7" ht="15" x14ac:dyDescent="0.25">
      <c r="A53" s="70"/>
      <c r="B53" s="75"/>
      <c r="C53" s="75"/>
      <c r="D53" s="64"/>
      <c r="E53" s="64"/>
      <c r="F53" s="64"/>
      <c r="G53" s="92"/>
    </row>
    <row r="54" spans="1:7" ht="15" x14ac:dyDescent="0.25">
      <c r="A54" s="70"/>
      <c r="B54" s="75"/>
      <c r="C54" s="75"/>
      <c r="D54" s="64"/>
      <c r="E54" s="64"/>
      <c r="F54" s="64"/>
      <c r="G54" s="92"/>
    </row>
    <row r="55" spans="1:7" ht="15" x14ac:dyDescent="0.25">
      <c r="A55" s="70"/>
      <c r="B55" s="75"/>
      <c r="C55" s="75"/>
      <c r="D55" s="64"/>
      <c r="E55" s="64"/>
      <c r="F55" s="64"/>
      <c r="G55" s="92"/>
    </row>
    <row r="56" spans="1:7" ht="15.75" thickBot="1" x14ac:dyDescent="0.3">
      <c r="A56" s="62"/>
      <c r="B56" s="66" t="s">
        <v>343</v>
      </c>
      <c r="C56" s="66"/>
      <c r="D56" s="166">
        <v>2017</v>
      </c>
      <c r="E56" s="167"/>
      <c r="F56" s="166">
        <v>2016</v>
      </c>
      <c r="G56" s="65"/>
    </row>
    <row r="57" spans="1:7" ht="15" x14ac:dyDescent="0.25">
      <c r="A57" s="62"/>
      <c r="B57" s="66"/>
      <c r="C57" s="66"/>
      <c r="D57" s="167"/>
      <c r="E57" s="167"/>
      <c r="F57" s="167"/>
      <c r="G57" s="65"/>
    </row>
    <row r="58" spans="1:7" ht="15" x14ac:dyDescent="0.25">
      <c r="A58" s="70" t="s">
        <v>475</v>
      </c>
      <c r="B58" s="71"/>
      <c r="C58" s="71"/>
      <c r="D58" s="74"/>
      <c r="E58" s="74"/>
      <c r="F58" s="74"/>
      <c r="G58" s="69"/>
    </row>
    <row r="59" spans="1:7" ht="14.25" x14ac:dyDescent="0.2">
      <c r="A59" s="62"/>
      <c r="B59" s="75"/>
      <c r="C59" s="75"/>
      <c r="D59" s="74"/>
      <c r="E59" s="74"/>
      <c r="F59" s="74"/>
      <c r="G59" s="69"/>
    </row>
    <row r="60" spans="1:7" ht="15" x14ac:dyDescent="0.25">
      <c r="A60" s="70" t="s">
        <v>2677</v>
      </c>
      <c r="B60" s="75"/>
      <c r="C60" s="75"/>
      <c r="D60" s="74"/>
      <c r="E60" s="74"/>
      <c r="F60" s="74"/>
      <c r="G60" s="69"/>
    </row>
    <row r="61" spans="1:7" ht="14.25" x14ac:dyDescent="0.2">
      <c r="A61" s="62"/>
      <c r="B61" s="75"/>
      <c r="C61" s="75"/>
      <c r="D61" s="74"/>
      <c r="E61" s="74"/>
      <c r="F61" s="74"/>
      <c r="G61" s="69"/>
    </row>
    <row r="62" spans="1:7" ht="15" x14ac:dyDescent="0.25">
      <c r="A62" s="93" t="s">
        <v>4158</v>
      </c>
      <c r="B62" s="85"/>
      <c r="C62" s="85"/>
      <c r="D62" s="74"/>
      <c r="E62" s="74"/>
      <c r="F62" s="74"/>
      <c r="G62" s="69"/>
    </row>
    <row r="63" spans="1:7" ht="14.25" x14ac:dyDescent="0.2">
      <c r="A63" s="71" t="s">
        <v>4177</v>
      </c>
      <c r="B63" s="75">
        <v>15</v>
      </c>
      <c r="C63" s="75"/>
      <c r="D63" s="74">
        <v>482218237.02999997</v>
      </c>
      <c r="E63" s="74"/>
      <c r="F63" s="74">
        <v>478061378.99000001</v>
      </c>
      <c r="G63" s="77"/>
    </row>
    <row r="64" spans="1:7" ht="14.25" x14ac:dyDescent="0.2">
      <c r="A64" s="62" t="s">
        <v>258</v>
      </c>
      <c r="B64" s="75">
        <v>16</v>
      </c>
      <c r="C64" s="75"/>
      <c r="D64" s="74">
        <v>6057663922.5600004</v>
      </c>
      <c r="E64" s="74"/>
      <c r="F64" s="74">
        <v>5754738667.5500002</v>
      </c>
      <c r="G64" s="69"/>
    </row>
    <row r="65" spans="1:7" ht="14.25" x14ac:dyDescent="0.2">
      <c r="A65" s="71" t="s">
        <v>477</v>
      </c>
      <c r="B65" s="75">
        <v>17</v>
      </c>
      <c r="C65" s="75"/>
      <c r="D65" s="74">
        <v>10667703472.969999</v>
      </c>
      <c r="E65" s="74"/>
      <c r="F65" s="74">
        <v>9990060142.7999992</v>
      </c>
      <c r="G65" s="51"/>
    </row>
    <row r="66" spans="1:7" s="94" customFormat="1" ht="14.25" x14ac:dyDescent="0.2">
      <c r="A66" s="71" t="s">
        <v>1591</v>
      </c>
      <c r="B66" s="75">
        <v>18</v>
      </c>
      <c r="C66" s="75"/>
      <c r="D66" s="74">
        <v>2454935298.1799998</v>
      </c>
      <c r="E66" s="74"/>
      <c r="F66" s="74">
        <v>2372448187.4499998</v>
      </c>
      <c r="G66" s="69"/>
    </row>
    <row r="67" spans="1:7" s="94" customFormat="1" ht="14.25" x14ac:dyDescent="0.2">
      <c r="A67" s="71" t="s">
        <v>4178</v>
      </c>
      <c r="B67" s="75">
        <v>19</v>
      </c>
      <c r="C67" s="75"/>
      <c r="D67" s="74">
        <v>211844886.53999999</v>
      </c>
      <c r="E67" s="74"/>
      <c r="F67" s="74">
        <v>0</v>
      </c>
      <c r="G67" s="69"/>
    </row>
    <row r="68" spans="1:7" ht="15" x14ac:dyDescent="0.25">
      <c r="A68" s="82" t="s">
        <v>4159</v>
      </c>
      <c r="B68" s="75"/>
      <c r="C68" s="75"/>
      <c r="D68" s="86">
        <f>SUM(D63:D67)</f>
        <v>19874365817.279999</v>
      </c>
      <c r="E68" s="74"/>
      <c r="F68" s="86">
        <f>SUM(F63:F67)</f>
        <v>18595308376.790001</v>
      </c>
      <c r="G68" s="69"/>
    </row>
    <row r="69" spans="1:7" ht="15" x14ac:dyDescent="0.25">
      <c r="A69" s="70"/>
      <c r="B69" s="75"/>
      <c r="C69" s="75"/>
      <c r="D69" s="74"/>
      <c r="E69" s="74"/>
      <c r="F69" s="74"/>
      <c r="G69" s="69"/>
    </row>
    <row r="70" spans="1:7" ht="15" x14ac:dyDescent="0.25">
      <c r="A70" s="70" t="s">
        <v>4180</v>
      </c>
      <c r="B70" s="75"/>
      <c r="C70" s="75"/>
      <c r="D70" s="74"/>
      <c r="E70" s="74"/>
      <c r="F70" s="74"/>
      <c r="G70" s="69"/>
    </row>
    <row r="71" spans="1:7" ht="14.25" x14ac:dyDescent="0.2">
      <c r="A71" s="71" t="s">
        <v>4179</v>
      </c>
      <c r="B71" s="75">
        <v>20</v>
      </c>
      <c r="C71" s="75"/>
      <c r="D71" s="74">
        <v>24595795888.220001</v>
      </c>
      <c r="E71" s="74"/>
      <c r="F71" s="74">
        <v>21647695773.52</v>
      </c>
      <c r="G71" s="69"/>
    </row>
    <row r="72" spans="1:7" ht="15" x14ac:dyDescent="0.25">
      <c r="A72" s="82" t="s">
        <v>4181</v>
      </c>
      <c r="B72" s="75"/>
      <c r="C72" s="75"/>
      <c r="D72" s="86">
        <f>+D71</f>
        <v>24595795888.220001</v>
      </c>
      <c r="E72" s="74"/>
      <c r="F72" s="86">
        <f>+F71</f>
        <v>21647695773.52</v>
      </c>
      <c r="G72" s="69"/>
    </row>
    <row r="73" spans="1:7" ht="14.25" x14ac:dyDescent="0.2">
      <c r="A73" s="71"/>
      <c r="B73" s="75"/>
      <c r="C73" s="75"/>
      <c r="D73" s="74"/>
      <c r="E73" s="74"/>
      <c r="F73" s="74"/>
      <c r="G73" s="69"/>
    </row>
    <row r="74" spans="1:7" ht="15" x14ac:dyDescent="0.25">
      <c r="A74" s="82" t="s">
        <v>4160</v>
      </c>
      <c r="B74" s="75"/>
      <c r="C74" s="75"/>
      <c r="D74" s="86">
        <f>+D68+D72</f>
        <v>44470161705.5</v>
      </c>
      <c r="E74" s="74"/>
      <c r="F74" s="86">
        <f>+F68+F72</f>
        <v>40243004150.309998</v>
      </c>
      <c r="G74" s="69"/>
    </row>
    <row r="75" spans="1:7" ht="14.25" x14ac:dyDescent="0.2">
      <c r="A75" s="62"/>
      <c r="B75" s="71"/>
      <c r="C75" s="71"/>
      <c r="D75" s="64"/>
      <c r="E75" s="64"/>
      <c r="F75" s="64"/>
      <c r="G75" s="65"/>
    </row>
    <row r="76" spans="1:7" ht="15" x14ac:dyDescent="0.25">
      <c r="A76" s="70" t="s">
        <v>1387</v>
      </c>
      <c r="B76" s="75"/>
      <c r="C76" s="75"/>
      <c r="D76" s="74"/>
      <c r="E76" s="74"/>
      <c r="F76" s="74"/>
      <c r="G76" s="69"/>
    </row>
    <row r="77" spans="1:7" ht="15" x14ac:dyDescent="0.25">
      <c r="A77" s="73"/>
      <c r="B77" s="75"/>
      <c r="C77" s="75"/>
      <c r="D77" s="74"/>
      <c r="E77" s="74"/>
      <c r="F77" s="74"/>
      <c r="G77" s="69"/>
    </row>
    <row r="78" spans="1:7" ht="15" x14ac:dyDescent="0.25">
      <c r="A78" s="73" t="s">
        <v>3416</v>
      </c>
      <c r="B78" s="85">
        <v>21</v>
      </c>
      <c r="C78" s="85"/>
      <c r="D78" s="87">
        <f>86694776302.57+285797001.05-4342895.51</f>
        <v>86976230408.110016</v>
      </c>
      <c r="E78" s="87"/>
      <c r="F78" s="87">
        <v>71768673404.990005</v>
      </c>
      <c r="G78" s="69"/>
    </row>
    <row r="79" spans="1:7" s="94" customFormat="1" ht="14.25" x14ac:dyDescent="0.2">
      <c r="A79" s="71"/>
      <c r="B79" s="75"/>
      <c r="C79" s="75"/>
      <c r="D79" s="74"/>
      <c r="E79" s="74"/>
      <c r="F79" s="74"/>
      <c r="G79" s="77"/>
    </row>
    <row r="80" spans="1:7" s="94" customFormat="1" ht="15" x14ac:dyDescent="0.25">
      <c r="A80" s="73" t="s">
        <v>1768</v>
      </c>
      <c r="B80" s="75"/>
      <c r="C80" s="75"/>
      <c r="D80" s="74"/>
      <c r="E80" s="74"/>
      <c r="F80" s="74"/>
      <c r="G80" s="69"/>
    </row>
    <row r="81" spans="1:7" s="94" customFormat="1" ht="14.25" x14ac:dyDescent="0.2">
      <c r="A81" s="71" t="s">
        <v>3415</v>
      </c>
      <c r="B81" s="75"/>
      <c r="C81" s="75"/>
      <c r="D81" s="78">
        <f>+(688683426.28-53523043.74)</f>
        <v>635160382.53999996</v>
      </c>
      <c r="E81" s="78"/>
      <c r="F81" s="78">
        <v>557849772.70000005</v>
      </c>
      <c r="G81" s="69"/>
    </row>
    <row r="82" spans="1:7" ht="14.25" x14ac:dyDescent="0.2">
      <c r="A82" s="71" t="s">
        <v>1769</v>
      </c>
      <c r="B82" s="75"/>
      <c r="C82" s="75"/>
      <c r="D82" s="78">
        <v>-3572539639.6399999</v>
      </c>
      <c r="E82" s="179"/>
      <c r="F82" s="78">
        <v>-2554491240.3200002</v>
      </c>
      <c r="G82" s="69"/>
    </row>
    <row r="83" spans="1:7" s="94" customFormat="1" ht="14.25" x14ac:dyDescent="0.2">
      <c r="A83" s="71" t="s">
        <v>3380</v>
      </c>
      <c r="B83" s="75"/>
      <c r="C83" s="75"/>
      <c r="D83" s="78">
        <v>-7499000</v>
      </c>
      <c r="E83" s="179"/>
      <c r="F83" s="78">
        <v>-33208000</v>
      </c>
      <c r="G83" s="69"/>
    </row>
    <row r="84" spans="1:7" ht="14.25" x14ac:dyDescent="0.2">
      <c r="A84" s="71" t="s">
        <v>4190</v>
      </c>
      <c r="B84" s="75"/>
      <c r="C84" s="75"/>
      <c r="D84" s="74">
        <v>0</v>
      </c>
      <c r="E84" s="74"/>
      <c r="F84" s="74">
        <v>599843244.26999998</v>
      </c>
      <c r="G84" s="51"/>
    </row>
    <row r="85" spans="1:7" ht="14.25" x14ac:dyDescent="0.2">
      <c r="A85" s="71" t="s">
        <v>479</v>
      </c>
      <c r="B85" s="75">
        <v>22</v>
      </c>
      <c r="C85" s="75"/>
      <c r="D85" s="74">
        <v>89526356830.960007</v>
      </c>
      <c r="E85" s="74"/>
      <c r="F85" s="74">
        <v>80712764253.179993</v>
      </c>
      <c r="G85" s="51"/>
    </row>
    <row r="86" spans="1:7" ht="14.25" x14ac:dyDescent="0.2">
      <c r="A86" s="71" t="s">
        <v>356</v>
      </c>
      <c r="B86" s="75"/>
      <c r="C86" s="75"/>
      <c r="D86" s="74">
        <v>357275275.47000003</v>
      </c>
      <c r="E86" s="74"/>
      <c r="F86" s="74">
        <v>366989170.06</v>
      </c>
      <c r="G86" s="51"/>
    </row>
    <row r="87" spans="1:7" ht="14.25" x14ac:dyDescent="0.2">
      <c r="A87" s="71" t="s">
        <v>357</v>
      </c>
      <c r="B87" s="75"/>
      <c r="C87" s="75"/>
      <c r="D87" s="78">
        <v>113331840</v>
      </c>
      <c r="E87" s="78"/>
      <c r="F87" s="78">
        <v>106744350</v>
      </c>
      <c r="G87" s="51"/>
    </row>
    <row r="88" spans="1:7" ht="15" x14ac:dyDescent="0.25">
      <c r="A88" s="95" t="s">
        <v>1770</v>
      </c>
      <c r="B88" s="104"/>
      <c r="C88" s="104"/>
      <c r="D88" s="105">
        <f>SUM(D81:D87)</f>
        <v>87052085689.330002</v>
      </c>
      <c r="E88" s="87"/>
      <c r="F88" s="105">
        <f>SUM(F81:F87)</f>
        <v>79756491549.889984</v>
      </c>
      <c r="G88" s="69"/>
    </row>
    <row r="89" spans="1:7" ht="15" x14ac:dyDescent="0.25">
      <c r="A89" s="95"/>
      <c r="B89" s="104"/>
      <c r="C89" s="104"/>
      <c r="D89" s="83"/>
      <c r="E89" s="87"/>
      <c r="F89" s="83"/>
      <c r="G89" s="69"/>
    </row>
    <row r="90" spans="1:7" ht="15.75" thickBot="1" x14ac:dyDescent="0.3">
      <c r="A90" s="96" t="s">
        <v>1388</v>
      </c>
      <c r="B90" s="97"/>
      <c r="C90" s="97"/>
      <c r="D90" s="98">
        <f>D78+D88</f>
        <v>174028316097.44</v>
      </c>
      <c r="E90" s="99"/>
      <c r="F90" s="98">
        <f>F78+F88</f>
        <v>151525164954.88</v>
      </c>
      <c r="G90" s="100"/>
    </row>
    <row r="91" spans="1:7" ht="15.75" thickTop="1" x14ac:dyDescent="0.25">
      <c r="A91" s="101"/>
      <c r="B91" s="97"/>
      <c r="C91" s="97"/>
      <c r="D91" s="99"/>
      <c r="E91" s="99"/>
      <c r="F91" s="99"/>
      <c r="G91" s="100"/>
    </row>
    <row r="92" spans="1:7" ht="15.75" thickBot="1" x14ac:dyDescent="0.3">
      <c r="A92" s="101" t="s">
        <v>1389</v>
      </c>
      <c r="B92" s="97"/>
      <c r="C92" s="97"/>
      <c r="D92" s="90">
        <f>D74+D90</f>
        <v>218498477802.94</v>
      </c>
      <c r="E92" s="99"/>
      <c r="F92" s="90">
        <f>F74+F90</f>
        <v>191768169105.19</v>
      </c>
      <c r="G92" s="102"/>
    </row>
    <row r="93" spans="1:7" ht="15.75" thickTop="1" x14ac:dyDescent="0.25">
      <c r="A93" s="101"/>
      <c r="B93" s="97"/>
      <c r="C93" s="97"/>
      <c r="D93" s="83"/>
      <c r="E93" s="99"/>
      <c r="F93" s="83"/>
      <c r="G93" s="102"/>
    </row>
    <row r="94" spans="1:7" ht="15" x14ac:dyDescent="0.25">
      <c r="A94" s="101"/>
      <c r="B94" s="97"/>
      <c r="C94" s="97"/>
      <c r="D94" s="99"/>
      <c r="E94" s="99"/>
      <c r="F94" s="99"/>
      <c r="G94" s="100"/>
    </row>
    <row r="95" spans="1:7" ht="15.75" thickBot="1" x14ac:dyDescent="0.3">
      <c r="A95" s="103" t="s">
        <v>1771</v>
      </c>
      <c r="B95" s="72">
        <v>23</v>
      </c>
      <c r="C95" s="72"/>
      <c r="D95" s="90">
        <v>3852419813.5900002</v>
      </c>
      <c r="E95" s="99"/>
      <c r="F95" s="90">
        <v>1688912765.3499999</v>
      </c>
      <c r="G95" s="102"/>
    </row>
    <row r="96" spans="1:7" ht="15.75" thickTop="1" x14ac:dyDescent="0.25">
      <c r="A96" s="62"/>
      <c r="B96" s="71"/>
      <c r="C96" s="71"/>
      <c r="D96" s="74"/>
      <c r="E96" s="74"/>
      <c r="F96" s="99"/>
      <c r="G96" s="100"/>
    </row>
    <row r="97" spans="1:7" ht="15" x14ac:dyDescent="0.25">
      <c r="A97" s="62"/>
      <c r="B97" s="71"/>
      <c r="C97" s="71"/>
      <c r="D97" s="74"/>
      <c r="E97" s="74"/>
      <c r="F97" s="87" t="s">
        <v>1772</v>
      </c>
      <c r="G97" s="100"/>
    </row>
    <row r="98" spans="1:7" ht="15" x14ac:dyDescent="0.25">
      <c r="A98" s="71"/>
      <c r="B98" s="71"/>
      <c r="C98" s="71"/>
      <c r="D98" s="74"/>
      <c r="E98" s="74"/>
      <c r="F98" s="87"/>
      <c r="G98" s="100"/>
    </row>
    <row r="99" spans="1:7" ht="15" x14ac:dyDescent="0.25">
      <c r="A99" s="71"/>
      <c r="B99" s="71"/>
      <c r="C99" s="71"/>
      <c r="D99" s="74"/>
      <c r="E99" s="74"/>
      <c r="F99" s="87"/>
      <c r="G99" s="100"/>
    </row>
    <row r="100" spans="1:7" ht="15" x14ac:dyDescent="0.25">
      <c r="A100" s="1052"/>
      <c r="B100" s="71"/>
      <c r="C100" s="71"/>
      <c r="D100" s="74"/>
      <c r="E100" s="74"/>
      <c r="F100" s="99"/>
      <c r="G100" s="100"/>
    </row>
    <row r="101" spans="1:7" ht="14.25" x14ac:dyDescent="0.2">
      <c r="A101" s="1138" t="s">
        <v>4195</v>
      </c>
      <c r="B101" s="1138"/>
      <c r="C101" s="1138"/>
      <c r="D101" s="1138"/>
      <c r="E101" s="1138"/>
      <c r="F101" s="64"/>
      <c r="G101" s="65"/>
    </row>
    <row r="102" spans="1:7" ht="14.25" x14ac:dyDescent="0.2">
      <c r="A102" s="1135" t="s">
        <v>4175</v>
      </c>
      <c r="B102" s="1136" t="s">
        <v>4108</v>
      </c>
      <c r="C102" s="1136"/>
      <c r="D102" s="1136"/>
      <c r="E102" s="1136"/>
      <c r="F102" s="64"/>
      <c r="G102" s="65"/>
    </row>
    <row r="103" spans="1:7" ht="14.25" x14ac:dyDescent="0.2">
      <c r="A103" s="1135" t="s">
        <v>4170</v>
      </c>
      <c r="B103" s="1137" t="s">
        <v>2676</v>
      </c>
      <c r="C103" s="1137"/>
      <c r="D103" s="1137"/>
      <c r="E103" s="1137"/>
      <c r="F103" s="1022" t="s">
        <v>972</v>
      </c>
      <c r="G103" s="65"/>
    </row>
    <row r="104" spans="1:7" ht="14.25" x14ac:dyDescent="0.2">
      <c r="A104" s="1129" t="s">
        <v>4172</v>
      </c>
      <c r="B104" s="1136" t="s">
        <v>4176</v>
      </c>
      <c r="C104" s="1136"/>
      <c r="D104" s="1136"/>
      <c r="E104" s="1136"/>
      <c r="F104" s="64"/>
      <c r="G104" s="65"/>
    </row>
    <row r="105" spans="1:7" ht="14.25" x14ac:dyDescent="0.2">
      <c r="A105" s="1132"/>
      <c r="B105" s="1132"/>
      <c r="C105" s="1132"/>
      <c r="D105" s="1132"/>
      <c r="E105" s="1133"/>
      <c r="F105" s="64"/>
      <c r="G105" s="65"/>
    </row>
    <row r="106" spans="1:7" ht="14.25" x14ac:dyDescent="0.2">
      <c r="A106" s="1132"/>
      <c r="B106" s="1132"/>
      <c r="C106" s="1132"/>
      <c r="D106" s="1132"/>
      <c r="E106" s="1133"/>
      <c r="F106" s="64"/>
      <c r="G106" s="65"/>
    </row>
    <row r="107" spans="1:7" ht="14.25" x14ac:dyDescent="0.2">
      <c r="A107" s="1139" t="s">
        <v>4194</v>
      </c>
      <c r="B107" s="1139"/>
      <c r="C107" s="1139"/>
      <c r="D107" s="1139"/>
      <c r="E107" s="1133"/>
      <c r="F107" s="64"/>
      <c r="G107" s="65"/>
    </row>
    <row r="108" spans="1:7" x14ac:dyDescent="0.2">
      <c r="A108" s="1130" t="s">
        <v>4109</v>
      </c>
      <c r="B108" s="1130"/>
      <c r="C108" s="1130"/>
      <c r="D108" s="1130"/>
      <c r="E108" s="1133"/>
      <c r="F108" s="65"/>
      <c r="G108" s="65"/>
    </row>
    <row r="109" spans="1:7" x14ac:dyDescent="0.2">
      <c r="A109" s="1130" t="s">
        <v>4110</v>
      </c>
      <c r="B109" s="1130"/>
      <c r="C109" s="1130"/>
      <c r="D109" s="1130"/>
      <c r="E109" s="1134"/>
    </row>
    <row r="110" spans="1:7" x14ac:dyDescent="0.2">
      <c r="A110" s="1131" t="s">
        <v>4174</v>
      </c>
      <c r="B110" s="1131"/>
      <c r="C110" s="1131"/>
      <c r="D110" s="1131"/>
      <c r="E110" s="1134"/>
    </row>
    <row r="111" spans="1:7" x14ac:dyDescent="0.2">
      <c r="A111" s="110"/>
    </row>
    <row r="112" spans="1:7" x14ac:dyDescent="0.2">
      <c r="A112" s="110"/>
    </row>
  </sheetData>
  <mergeCells count="14">
    <mergeCell ref="A7:F7"/>
    <mergeCell ref="B102:E102"/>
    <mergeCell ref="B103:E103"/>
    <mergeCell ref="B104:E104"/>
    <mergeCell ref="A1:F1"/>
    <mergeCell ref="A2:F2"/>
    <mergeCell ref="A3:F3"/>
    <mergeCell ref="A5:F5"/>
    <mergeCell ref="A6:F6"/>
    <mergeCell ref="A107:D107"/>
    <mergeCell ref="A101:E101"/>
    <mergeCell ref="A108:D108"/>
    <mergeCell ref="A109:D109"/>
    <mergeCell ref="A110:D110"/>
  </mergeCells>
  <phoneticPr fontId="0" type="noConversion"/>
  <printOptions horizontalCentered="1"/>
  <pageMargins left="0.59055118110236227" right="0.39370078740157483" top="1.299212598425197" bottom="0.78740157480314965" header="0.55118110236220474" footer="0.27559055118110237"/>
  <pageSetup scale="80" firstPageNumber="4" fitToHeight="2" orientation="portrait" r:id="rId1"/>
  <headerFooter alignWithMargins="0">
    <oddHeader xml:space="preserve">&amp;R&amp;"Arial,Negrita"&amp;K000000
</oddHeader>
    <oddFooter xml:space="preserve">&amp;C&amp;12&amp;P
</oddFooter>
  </headerFooter>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O104"/>
  <sheetViews>
    <sheetView topLeftCell="A66" workbookViewId="0">
      <selection activeCell="K8" sqref="K8"/>
    </sheetView>
  </sheetViews>
  <sheetFormatPr baseColWidth="10" defaultRowHeight="12.75" x14ac:dyDescent="0.2"/>
  <cols>
    <col min="1" max="1" width="12.85546875" style="1" customWidth="1"/>
    <col min="2" max="2" width="32.5703125" style="178" customWidth="1"/>
    <col min="3" max="3" width="16.85546875" style="970" bestFit="1" customWidth="1"/>
    <col min="4" max="4" width="15.140625" style="970" bestFit="1" customWidth="1"/>
    <col min="5" max="5" width="16.28515625" style="970" bestFit="1" customWidth="1"/>
    <col min="6" max="6" width="2.42578125" style="970" customWidth="1"/>
    <col min="7" max="9" width="15.140625" style="970" bestFit="1" customWidth="1"/>
    <col min="10" max="10" width="16.28515625" style="970" bestFit="1" customWidth="1"/>
    <col min="11" max="11" width="17.85546875" style="970" customWidth="1"/>
    <col min="12" max="12" width="15.85546875" style="178" bestFit="1" customWidth="1"/>
    <col min="13" max="13" width="15.140625" style="178" bestFit="1" customWidth="1"/>
    <col min="14" max="16384" width="11.42578125" style="178"/>
  </cols>
  <sheetData>
    <row r="2" spans="1:13" ht="13.5" thickBot="1" x14ac:dyDescent="0.25">
      <c r="A2" s="1105" t="s">
        <v>3376</v>
      </c>
      <c r="B2" s="1105"/>
      <c r="C2" s="1105"/>
      <c r="D2" s="1105"/>
      <c r="E2" s="1105"/>
      <c r="F2" s="979"/>
      <c r="G2" s="1104" t="s">
        <v>3377</v>
      </c>
      <c r="H2" s="1104"/>
      <c r="I2" s="1104"/>
      <c r="J2" s="1104"/>
      <c r="K2" s="1104"/>
      <c r="L2" s="1104"/>
    </row>
    <row r="3" spans="1:13" s="27" customFormat="1" ht="26.25" thickBot="1" x14ac:dyDescent="0.25">
      <c r="A3" s="980" t="s">
        <v>33</v>
      </c>
      <c r="B3" s="980" t="s">
        <v>2357</v>
      </c>
      <c r="C3" s="980" t="s">
        <v>34</v>
      </c>
      <c r="D3" s="980" t="s">
        <v>531</v>
      </c>
      <c r="E3" s="980" t="s">
        <v>35</v>
      </c>
      <c r="F3" s="980"/>
      <c r="G3" s="980" t="s">
        <v>695</v>
      </c>
      <c r="H3" s="980" t="s">
        <v>85</v>
      </c>
      <c r="I3" s="980" t="s">
        <v>696</v>
      </c>
      <c r="J3" s="980" t="s">
        <v>531</v>
      </c>
      <c r="K3" s="980" t="s">
        <v>694</v>
      </c>
      <c r="L3" s="981" t="s">
        <v>35</v>
      </c>
      <c r="M3" s="221"/>
    </row>
    <row r="4" spans="1:13" x14ac:dyDescent="0.2">
      <c r="A4" s="1">
        <v>2004</v>
      </c>
      <c r="B4" s="178" t="s">
        <v>2699</v>
      </c>
      <c r="C4" s="970">
        <v>0</v>
      </c>
      <c r="D4" s="970">
        <v>102168.75</v>
      </c>
      <c r="E4" s="970">
        <f t="shared" ref="E4:E65" si="0">C4-D4</f>
        <v>-102168.75</v>
      </c>
      <c r="F4" s="130"/>
      <c r="G4" s="970">
        <v>1547019.48</v>
      </c>
      <c r="H4" s="970">
        <f>I4-G4</f>
        <v>681125</v>
      </c>
      <c r="I4" s="970">
        <v>2228144.48</v>
      </c>
      <c r="J4" s="970">
        <f t="shared" ref="J4:J65" si="1">D4</f>
        <v>102168.75</v>
      </c>
      <c r="K4" s="970">
        <v>0</v>
      </c>
      <c r="L4" s="970">
        <f>I4-J4-K4</f>
        <v>2125975.73</v>
      </c>
    </row>
    <row r="5" spans="1:13" x14ac:dyDescent="0.2">
      <c r="A5" s="1">
        <v>2011</v>
      </c>
      <c r="B5" s="178" t="s">
        <v>2700</v>
      </c>
      <c r="C5" s="970">
        <v>81389135.530000001</v>
      </c>
      <c r="D5" s="970">
        <v>26876229.66</v>
      </c>
      <c r="E5" s="970">
        <f t="shared" si="0"/>
        <v>54512905.870000005</v>
      </c>
      <c r="F5" s="130"/>
      <c r="G5" s="970">
        <v>13387711.529999994</v>
      </c>
      <c r="H5" s="970">
        <f t="shared" ref="H5:H65" si="2">I5-G5</f>
        <v>41191093.000000007</v>
      </c>
      <c r="I5" s="970">
        <v>54578804.530000001</v>
      </c>
      <c r="J5" s="970">
        <f t="shared" si="1"/>
        <v>26876229.66</v>
      </c>
      <c r="K5" s="970">
        <v>0</v>
      </c>
      <c r="L5" s="970">
        <f t="shared" ref="L5:L65" si="3">I5-J5-K5</f>
        <v>27702574.870000001</v>
      </c>
    </row>
    <row r="6" spans="1:13" x14ac:dyDescent="0.2">
      <c r="A6" s="1">
        <v>2012</v>
      </c>
      <c r="B6" s="178" t="s">
        <v>2701</v>
      </c>
      <c r="C6" s="970">
        <v>17702679.559999999</v>
      </c>
      <c r="D6" s="970">
        <v>6436751.3799999999</v>
      </c>
      <c r="E6" s="970">
        <f t="shared" si="0"/>
        <v>11265928.18</v>
      </c>
      <c r="F6" s="130"/>
      <c r="G6" s="970">
        <v>3314674.0600000005</v>
      </c>
      <c r="H6" s="970">
        <f t="shared" si="2"/>
        <v>8690271.5</v>
      </c>
      <c r="I6" s="970">
        <v>12004945.560000001</v>
      </c>
      <c r="J6" s="970">
        <f t="shared" si="1"/>
        <v>6436751.3799999999</v>
      </c>
      <c r="K6" s="970">
        <v>1284000</v>
      </c>
      <c r="L6" s="970">
        <f t="shared" si="3"/>
        <v>4284194.1800000006</v>
      </c>
    </row>
    <row r="7" spans="1:13" x14ac:dyDescent="0.2">
      <c r="A7" s="1">
        <v>2013</v>
      </c>
      <c r="B7" s="178" t="s">
        <v>2702</v>
      </c>
      <c r="C7" s="970">
        <v>5632248.1699999999</v>
      </c>
      <c r="D7" s="970">
        <v>1103622.8500000001</v>
      </c>
      <c r="E7" s="970">
        <f t="shared" si="0"/>
        <v>4528625.32</v>
      </c>
      <c r="F7" s="130"/>
      <c r="G7" s="970">
        <v>2735009.7699999996</v>
      </c>
      <c r="H7" s="970">
        <f t="shared" si="2"/>
        <v>3437130</v>
      </c>
      <c r="I7" s="970">
        <v>6172139.7699999996</v>
      </c>
      <c r="J7" s="970">
        <f t="shared" si="1"/>
        <v>1103622.8500000001</v>
      </c>
      <c r="K7" s="970">
        <v>0</v>
      </c>
      <c r="L7" s="970">
        <f t="shared" si="3"/>
        <v>5068516.92</v>
      </c>
    </row>
    <row r="8" spans="1:13" x14ac:dyDescent="0.2">
      <c r="A8" s="1">
        <v>2015</v>
      </c>
      <c r="B8" s="178" t="s">
        <v>2703</v>
      </c>
      <c r="C8" s="970">
        <v>64787494.270000003</v>
      </c>
      <c r="D8" s="970">
        <v>19495047.640000001</v>
      </c>
      <c r="E8" s="970">
        <f t="shared" si="0"/>
        <v>45292446.630000003</v>
      </c>
      <c r="F8" s="130"/>
      <c r="G8" s="970">
        <v>1.7462298274040222E-9</v>
      </c>
      <c r="H8" s="970">
        <f t="shared" si="2"/>
        <v>27751289.82</v>
      </c>
      <c r="I8" s="970">
        <v>27751289.82</v>
      </c>
      <c r="J8" s="970">
        <f t="shared" si="1"/>
        <v>19495047.640000001</v>
      </c>
      <c r="K8" s="970">
        <v>839572.67</v>
      </c>
      <c r="L8" s="970">
        <f t="shared" si="3"/>
        <v>7416669.5099999998</v>
      </c>
    </row>
    <row r="9" spans="1:13" x14ac:dyDescent="0.2">
      <c r="A9" s="1">
        <v>2016</v>
      </c>
      <c r="B9" s="178" t="s">
        <v>2704</v>
      </c>
      <c r="C9" s="970">
        <v>38836029.810000002</v>
      </c>
      <c r="D9" s="970">
        <v>11921481.57</v>
      </c>
      <c r="E9" s="970">
        <f t="shared" si="0"/>
        <v>26914548.240000002</v>
      </c>
      <c r="F9" s="130"/>
      <c r="G9" s="970">
        <v>2105739.8100000024</v>
      </c>
      <c r="H9" s="970">
        <f t="shared" si="2"/>
        <v>25188334.999999996</v>
      </c>
      <c r="I9" s="970">
        <v>27294074.809999999</v>
      </c>
      <c r="J9" s="970">
        <f t="shared" si="1"/>
        <v>11921481.57</v>
      </c>
      <c r="K9" s="970">
        <v>0</v>
      </c>
      <c r="L9" s="970">
        <f t="shared" si="3"/>
        <v>15372593.239999998</v>
      </c>
    </row>
    <row r="10" spans="1:13" x14ac:dyDescent="0.2">
      <c r="A10" s="1">
        <v>2018</v>
      </c>
      <c r="B10" s="178" t="s">
        <v>2705</v>
      </c>
      <c r="C10" s="970">
        <v>2893888</v>
      </c>
      <c r="D10" s="970">
        <v>2380203.89</v>
      </c>
      <c r="E10" s="970">
        <f t="shared" si="0"/>
        <v>513684.10999999987</v>
      </c>
      <c r="F10" s="130"/>
      <c r="G10" s="970">
        <v>1295438.0899999999</v>
      </c>
      <c r="H10" s="970">
        <f t="shared" si="2"/>
        <v>2305300</v>
      </c>
      <c r="I10" s="970">
        <v>3600738.09</v>
      </c>
      <c r="J10" s="970">
        <f t="shared" si="1"/>
        <v>2380203.89</v>
      </c>
      <c r="K10" s="970">
        <v>0</v>
      </c>
      <c r="L10" s="970">
        <f t="shared" si="3"/>
        <v>1220534.1999999997</v>
      </c>
    </row>
    <row r="11" spans="1:13" x14ac:dyDescent="0.2">
      <c r="A11" s="1">
        <v>2020</v>
      </c>
      <c r="B11" s="178" t="s">
        <v>2706</v>
      </c>
      <c r="C11" s="970">
        <v>0</v>
      </c>
      <c r="D11" s="970">
        <v>0</v>
      </c>
      <c r="E11" s="970">
        <f t="shared" si="0"/>
        <v>0</v>
      </c>
      <c r="F11" s="130"/>
      <c r="G11" s="970">
        <v>22408.12</v>
      </c>
      <c r="H11" s="970">
        <f t="shared" si="2"/>
        <v>-22408.12</v>
      </c>
      <c r="I11" s="970">
        <v>0</v>
      </c>
      <c r="J11" s="970">
        <f t="shared" si="1"/>
        <v>0</v>
      </c>
      <c r="K11" s="970">
        <v>0</v>
      </c>
      <c r="L11" s="970">
        <f t="shared" si="3"/>
        <v>0</v>
      </c>
    </row>
    <row r="12" spans="1:13" x14ac:dyDescent="0.2">
      <c r="A12" s="1">
        <v>2021</v>
      </c>
      <c r="B12" s="178" t="s">
        <v>2707</v>
      </c>
      <c r="C12" s="970">
        <v>71000000</v>
      </c>
      <c r="D12" s="970">
        <v>16343907.18</v>
      </c>
      <c r="E12" s="970">
        <f t="shared" si="0"/>
        <v>54656092.82</v>
      </c>
      <c r="F12" s="130"/>
      <c r="G12" s="970">
        <v>15252240.660000004</v>
      </c>
      <c r="H12" s="970">
        <f t="shared" si="2"/>
        <v>32389804.999999993</v>
      </c>
      <c r="I12" s="970">
        <v>47642045.659999996</v>
      </c>
      <c r="J12" s="970">
        <f t="shared" si="1"/>
        <v>16343907.18</v>
      </c>
      <c r="K12" s="970">
        <v>10345680</v>
      </c>
      <c r="L12" s="970">
        <f t="shared" si="3"/>
        <v>20952458.479999997</v>
      </c>
    </row>
    <row r="13" spans="1:13" x14ac:dyDescent="0.2">
      <c r="A13" s="1">
        <v>2022</v>
      </c>
      <c r="B13" s="178" t="s">
        <v>2708</v>
      </c>
      <c r="C13" s="970">
        <v>0</v>
      </c>
      <c r="D13" s="970">
        <v>0</v>
      </c>
      <c r="E13" s="970">
        <f t="shared" si="0"/>
        <v>0</v>
      </c>
      <c r="F13" s="130"/>
      <c r="G13" s="970">
        <v>1042045.78</v>
      </c>
      <c r="H13" s="970">
        <f t="shared" si="2"/>
        <v>0</v>
      </c>
      <c r="I13" s="970">
        <v>1042045.78</v>
      </c>
      <c r="J13" s="970">
        <f t="shared" si="1"/>
        <v>0</v>
      </c>
      <c r="K13" s="970">
        <v>0</v>
      </c>
      <c r="L13" s="970">
        <f t="shared" si="3"/>
        <v>1042045.78</v>
      </c>
    </row>
    <row r="14" spans="1:13" x14ac:dyDescent="0.2">
      <c r="A14" s="1">
        <v>2023</v>
      </c>
      <c r="B14" s="178" t="s">
        <v>2709</v>
      </c>
      <c r="C14" s="970">
        <v>8100000</v>
      </c>
      <c r="D14" s="970">
        <v>4403544.62</v>
      </c>
      <c r="E14" s="970">
        <f t="shared" si="0"/>
        <v>3696455.38</v>
      </c>
      <c r="F14" s="130"/>
      <c r="G14" s="970">
        <v>758772.3900000006</v>
      </c>
      <c r="H14" s="970">
        <f t="shared" si="2"/>
        <v>5260009.9999999991</v>
      </c>
      <c r="I14" s="970">
        <v>6018782.3899999997</v>
      </c>
      <c r="J14" s="970">
        <f t="shared" si="1"/>
        <v>4403544.62</v>
      </c>
      <c r="K14" s="970">
        <v>0</v>
      </c>
      <c r="L14" s="970">
        <f t="shared" si="3"/>
        <v>1615237.7699999996</v>
      </c>
    </row>
    <row r="15" spans="1:13" x14ac:dyDescent="0.2">
      <c r="A15" s="1">
        <v>2025</v>
      </c>
      <c r="B15" s="178" t="s">
        <v>2710</v>
      </c>
      <c r="C15" s="970">
        <v>30510960</v>
      </c>
      <c r="D15" s="970">
        <v>9090073.5299999993</v>
      </c>
      <c r="E15" s="970">
        <f t="shared" si="0"/>
        <v>21420886.469999999</v>
      </c>
      <c r="F15" s="130"/>
      <c r="G15" s="970">
        <v>9258209.9699999988</v>
      </c>
      <c r="H15" s="970">
        <f t="shared" si="2"/>
        <v>17757100</v>
      </c>
      <c r="I15" s="970">
        <v>27015309.969999999</v>
      </c>
      <c r="J15" s="970">
        <f t="shared" si="1"/>
        <v>9090073.5299999993</v>
      </c>
      <c r="K15" s="970">
        <v>0</v>
      </c>
      <c r="L15" s="970">
        <f t="shared" si="3"/>
        <v>17925236.439999998</v>
      </c>
    </row>
    <row r="16" spans="1:13" x14ac:dyDescent="0.2">
      <c r="A16" s="1">
        <v>2029</v>
      </c>
      <c r="B16" s="178" t="s">
        <v>2711</v>
      </c>
      <c r="C16" s="970">
        <v>14132208</v>
      </c>
      <c r="D16" s="970">
        <v>3264439.12</v>
      </c>
      <c r="E16" s="970">
        <f t="shared" si="0"/>
        <v>10867768.879999999</v>
      </c>
      <c r="F16" s="130"/>
      <c r="G16" s="970">
        <v>6119241.209999999</v>
      </c>
      <c r="H16" s="970">
        <f t="shared" si="2"/>
        <v>5680027.1000000015</v>
      </c>
      <c r="I16" s="970">
        <v>11799268.310000001</v>
      </c>
      <c r="J16" s="970">
        <f t="shared" si="1"/>
        <v>3264439.12</v>
      </c>
      <c r="K16" s="970">
        <v>0</v>
      </c>
      <c r="L16" s="970">
        <f t="shared" si="3"/>
        <v>8534829.1900000013</v>
      </c>
    </row>
    <row r="17" spans="1:12" x14ac:dyDescent="0.2">
      <c r="A17" s="1">
        <v>2030</v>
      </c>
      <c r="B17" s="178" t="s">
        <v>2712</v>
      </c>
      <c r="C17" s="970">
        <v>17482106.48</v>
      </c>
      <c r="D17" s="970">
        <v>5375463.1799999997</v>
      </c>
      <c r="E17" s="970">
        <f t="shared" si="0"/>
        <v>12106643.300000001</v>
      </c>
      <c r="F17" s="130"/>
      <c r="G17" s="970">
        <v>1394879.4800000004</v>
      </c>
      <c r="H17" s="970">
        <f t="shared" si="2"/>
        <v>12718507.5</v>
      </c>
      <c r="I17" s="970">
        <v>14113386.98</v>
      </c>
      <c r="J17" s="970">
        <f t="shared" si="1"/>
        <v>5375463.1799999997</v>
      </c>
      <c r="K17" s="970">
        <v>0</v>
      </c>
      <c r="L17" s="970">
        <f t="shared" si="3"/>
        <v>8737923.8000000007</v>
      </c>
    </row>
    <row r="18" spans="1:12" x14ac:dyDescent="0.2">
      <c r="A18" s="1">
        <v>2031</v>
      </c>
      <c r="B18" s="178" t="s">
        <v>2713</v>
      </c>
      <c r="C18" s="970">
        <v>0</v>
      </c>
      <c r="D18" s="970">
        <v>79317.119999999995</v>
      </c>
      <c r="E18" s="970">
        <f t="shared" si="0"/>
        <v>-79317.119999999995</v>
      </c>
      <c r="F18" s="130"/>
      <c r="G18" s="970">
        <v>222230.02999999997</v>
      </c>
      <c r="H18" s="970">
        <f t="shared" si="2"/>
        <v>528780.80000000005</v>
      </c>
      <c r="I18" s="970">
        <v>751010.83</v>
      </c>
      <c r="J18" s="970">
        <f t="shared" si="1"/>
        <v>79317.119999999995</v>
      </c>
      <c r="K18" s="970">
        <v>0</v>
      </c>
      <c r="L18" s="970">
        <f t="shared" si="3"/>
        <v>671693.71</v>
      </c>
    </row>
    <row r="19" spans="1:12" x14ac:dyDescent="0.2">
      <c r="A19" s="1">
        <v>2032</v>
      </c>
      <c r="B19" s="178" t="s">
        <v>2714</v>
      </c>
      <c r="C19" s="970">
        <v>34425000</v>
      </c>
      <c r="D19" s="970">
        <v>8850283.7200000007</v>
      </c>
      <c r="E19" s="970">
        <f t="shared" si="0"/>
        <v>25574716.280000001</v>
      </c>
      <c r="F19" s="130"/>
      <c r="G19" s="970">
        <v>808519.4299999997</v>
      </c>
      <c r="H19" s="970">
        <f t="shared" si="2"/>
        <v>19213915</v>
      </c>
      <c r="I19" s="970">
        <v>20022434.43</v>
      </c>
      <c r="J19" s="970">
        <f t="shared" si="1"/>
        <v>8850283.7200000007</v>
      </c>
      <c r="K19" s="970">
        <v>0</v>
      </c>
      <c r="L19" s="970">
        <f t="shared" si="3"/>
        <v>11172150.709999999</v>
      </c>
    </row>
    <row r="20" spans="1:12" x14ac:dyDescent="0.2">
      <c r="A20" s="1">
        <v>2033</v>
      </c>
      <c r="B20" s="178" t="s">
        <v>2715</v>
      </c>
      <c r="C20" s="970">
        <v>0</v>
      </c>
      <c r="D20" s="970">
        <v>0</v>
      </c>
      <c r="E20" s="970">
        <f t="shared" si="0"/>
        <v>0</v>
      </c>
      <c r="F20" s="130"/>
      <c r="G20" s="970">
        <v>24145.31</v>
      </c>
      <c r="H20" s="970">
        <f t="shared" si="2"/>
        <v>-24145.31</v>
      </c>
      <c r="I20" s="970">
        <v>0</v>
      </c>
      <c r="J20" s="970">
        <f t="shared" si="1"/>
        <v>0</v>
      </c>
      <c r="K20" s="970">
        <v>0</v>
      </c>
      <c r="L20" s="970">
        <f t="shared" si="3"/>
        <v>0</v>
      </c>
    </row>
    <row r="21" spans="1:12" x14ac:dyDescent="0.2">
      <c r="A21" s="1">
        <v>2034</v>
      </c>
      <c r="B21" s="178" t="s">
        <v>2716</v>
      </c>
      <c r="C21" s="970">
        <v>13399334.52</v>
      </c>
      <c r="D21" s="970">
        <v>2965457.55</v>
      </c>
      <c r="E21" s="970">
        <f t="shared" si="0"/>
        <v>10433876.969999999</v>
      </c>
      <c r="F21" s="130"/>
      <c r="G21" s="970">
        <v>145670.26999999955</v>
      </c>
      <c r="H21" s="970">
        <f t="shared" si="2"/>
        <v>5511864.25</v>
      </c>
      <c r="I21" s="970">
        <v>5657534.5199999996</v>
      </c>
      <c r="J21" s="970">
        <f t="shared" si="1"/>
        <v>2965457.55</v>
      </c>
      <c r="K21" s="970">
        <v>311664.25</v>
      </c>
      <c r="L21" s="970">
        <f t="shared" si="3"/>
        <v>2380412.7199999997</v>
      </c>
    </row>
    <row r="22" spans="1:12" x14ac:dyDescent="0.2">
      <c r="A22" s="1">
        <v>2035</v>
      </c>
      <c r="B22" s="178" t="s">
        <v>2717</v>
      </c>
      <c r="C22" s="970">
        <v>77375280</v>
      </c>
      <c r="D22" s="970">
        <v>26346906.23</v>
      </c>
      <c r="E22" s="970">
        <f t="shared" si="0"/>
        <v>51028373.769999996</v>
      </c>
      <c r="F22" s="130"/>
      <c r="G22" s="970">
        <v>2262147.5700000003</v>
      </c>
      <c r="H22" s="970">
        <f t="shared" si="2"/>
        <v>33588108</v>
      </c>
      <c r="I22" s="970">
        <v>35850255.57</v>
      </c>
      <c r="J22" s="970">
        <f t="shared" si="1"/>
        <v>26346906.23</v>
      </c>
      <c r="K22" s="970">
        <v>0</v>
      </c>
      <c r="L22" s="970">
        <f t="shared" si="3"/>
        <v>9503349.3399999999</v>
      </c>
    </row>
    <row r="23" spans="1:12" x14ac:dyDescent="0.2">
      <c r="A23" s="1">
        <v>2036</v>
      </c>
      <c r="B23" s="178" t="s">
        <v>2718</v>
      </c>
      <c r="C23" s="970">
        <v>6607953.0099999998</v>
      </c>
      <c r="D23" s="970">
        <v>22018.5</v>
      </c>
      <c r="E23" s="970">
        <f t="shared" si="0"/>
        <v>6585934.5099999998</v>
      </c>
      <c r="F23" s="130"/>
      <c r="G23" s="970">
        <v>1679953.0100000002</v>
      </c>
      <c r="H23" s="970">
        <f t="shared" si="2"/>
        <v>146789.99999999977</v>
      </c>
      <c r="I23" s="970">
        <v>1826743.01</v>
      </c>
      <c r="J23" s="970">
        <f t="shared" si="1"/>
        <v>22018.5</v>
      </c>
      <c r="K23" s="970">
        <v>0</v>
      </c>
      <c r="L23" s="970">
        <f t="shared" si="3"/>
        <v>1804724.51</v>
      </c>
    </row>
    <row r="24" spans="1:12" x14ac:dyDescent="0.2">
      <c r="A24" s="1">
        <v>2037</v>
      </c>
      <c r="B24" s="178" t="s">
        <v>2719</v>
      </c>
      <c r="C24" s="970">
        <v>916766.44</v>
      </c>
      <c r="D24" s="970">
        <v>65465</v>
      </c>
      <c r="E24" s="970">
        <f t="shared" si="0"/>
        <v>851301.44</v>
      </c>
      <c r="F24" s="130"/>
      <c r="G24" s="970">
        <v>916766.44</v>
      </c>
      <c r="H24" s="970">
        <f t="shared" si="2"/>
        <v>0</v>
      </c>
      <c r="I24" s="970">
        <v>916766.44</v>
      </c>
      <c r="J24" s="970">
        <f t="shared" si="1"/>
        <v>65465</v>
      </c>
      <c r="K24" s="970">
        <v>0</v>
      </c>
      <c r="L24" s="970">
        <f t="shared" si="3"/>
        <v>851301.44</v>
      </c>
    </row>
    <row r="25" spans="1:12" x14ac:dyDescent="0.2">
      <c r="A25" s="1">
        <v>2038</v>
      </c>
      <c r="B25" s="178" t="s">
        <v>2720</v>
      </c>
      <c r="C25" s="970">
        <v>6227416.9100000001</v>
      </c>
      <c r="D25" s="970">
        <v>1150336.8</v>
      </c>
      <c r="E25" s="970">
        <f t="shared" si="0"/>
        <v>5077080.1100000003</v>
      </c>
      <c r="F25" s="130"/>
      <c r="G25" s="970">
        <v>1254169.81</v>
      </c>
      <c r="H25" s="970">
        <f t="shared" si="2"/>
        <v>2425422.1</v>
      </c>
      <c r="I25" s="970">
        <v>3679591.91</v>
      </c>
      <c r="J25" s="970">
        <f t="shared" si="1"/>
        <v>1150336.8</v>
      </c>
      <c r="K25" s="970">
        <v>196197.1</v>
      </c>
      <c r="L25" s="970">
        <f t="shared" si="3"/>
        <v>2333058.0100000002</v>
      </c>
    </row>
    <row r="26" spans="1:12" x14ac:dyDescent="0.2">
      <c r="A26" s="1">
        <v>2039</v>
      </c>
      <c r="B26" s="178" t="s">
        <v>2721</v>
      </c>
      <c r="C26" s="970">
        <v>28505370.280000001</v>
      </c>
      <c r="D26" s="970">
        <v>11082809.039999999</v>
      </c>
      <c r="E26" s="970">
        <f t="shared" si="0"/>
        <v>17422561.240000002</v>
      </c>
      <c r="F26" s="130"/>
      <c r="G26" s="970">
        <v>4232024.9199999981</v>
      </c>
      <c r="H26" s="970">
        <f t="shared" si="2"/>
        <v>9306737.8900000025</v>
      </c>
      <c r="I26" s="970">
        <v>13538762.810000001</v>
      </c>
      <c r="J26" s="970">
        <f t="shared" si="1"/>
        <v>11082809.039999999</v>
      </c>
      <c r="K26" s="970">
        <v>0</v>
      </c>
      <c r="L26" s="970">
        <f t="shared" si="3"/>
        <v>2455953.7700000014</v>
      </c>
    </row>
    <row r="27" spans="1:12" x14ac:dyDescent="0.2">
      <c r="A27" s="1">
        <v>2044</v>
      </c>
      <c r="B27" s="178" t="s">
        <v>2722</v>
      </c>
      <c r="C27" s="970">
        <v>1198000</v>
      </c>
      <c r="D27" s="970">
        <v>0</v>
      </c>
      <c r="E27" s="970">
        <f t="shared" si="0"/>
        <v>1198000</v>
      </c>
      <c r="F27" s="130"/>
      <c r="G27" s="970">
        <v>0</v>
      </c>
      <c r="H27" s="970">
        <f t="shared" si="2"/>
        <v>1198000</v>
      </c>
      <c r="I27" s="970">
        <v>1198000</v>
      </c>
      <c r="J27" s="970">
        <f t="shared" si="1"/>
        <v>0</v>
      </c>
      <c r="K27" s="970">
        <v>1198000</v>
      </c>
      <c r="L27" s="970">
        <f t="shared" si="3"/>
        <v>0</v>
      </c>
    </row>
    <row r="28" spans="1:12" x14ac:dyDescent="0.2">
      <c r="A28" s="1">
        <v>2047</v>
      </c>
      <c r="B28" s="178" t="s">
        <v>2723</v>
      </c>
      <c r="C28" s="970">
        <v>2663037.41</v>
      </c>
      <c r="D28" s="970">
        <v>14739.07</v>
      </c>
      <c r="E28" s="970">
        <f t="shared" si="0"/>
        <v>2648298.3400000003</v>
      </c>
      <c r="F28" s="130"/>
      <c r="G28" s="970">
        <v>2663037.41</v>
      </c>
      <c r="H28" s="970">
        <f t="shared" si="2"/>
        <v>42705</v>
      </c>
      <c r="I28" s="970">
        <v>2705742.41</v>
      </c>
      <c r="J28" s="970">
        <f t="shared" si="1"/>
        <v>14739.07</v>
      </c>
      <c r="K28" s="970">
        <v>0</v>
      </c>
      <c r="L28" s="970">
        <f t="shared" si="3"/>
        <v>2691003.3400000003</v>
      </c>
    </row>
    <row r="29" spans="1:12" x14ac:dyDescent="0.2">
      <c r="A29" s="1">
        <v>2048</v>
      </c>
      <c r="B29" s="178" t="s">
        <v>2724</v>
      </c>
      <c r="C29" s="970">
        <v>24770480</v>
      </c>
      <c r="D29" s="970">
        <v>7052891.2300000004</v>
      </c>
      <c r="E29" s="970">
        <f t="shared" si="0"/>
        <v>17717588.77</v>
      </c>
      <c r="F29" s="130"/>
      <c r="G29" s="970">
        <v>5198491.41</v>
      </c>
      <c r="H29" s="970">
        <f t="shared" si="2"/>
        <v>8600740</v>
      </c>
      <c r="I29" s="970">
        <v>13799231.41</v>
      </c>
      <c r="J29" s="970">
        <f t="shared" si="1"/>
        <v>7052891.2300000004</v>
      </c>
      <c r="K29" s="970">
        <v>0</v>
      </c>
      <c r="L29" s="970">
        <f t="shared" si="3"/>
        <v>6746340.1799999997</v>
      </c>
    </row>
    <row r="30" spans="1:12" x14ac:dyDescent="0.2">
      <c r="A30" s="1">
        <v>2049</v>
      </c>
      <c r="B30" s="178" t="s">
        <v>2725</v>
      </c>
      <c r="C30" s="970">
        <v>13532034</v>
      </c>
      <c r="D30" s="970">
        <v>9285047.1999999993</v>
      </c>
      <c r="E30" s="970">
        <f t="shared" si="0"/>
        <v>4246986.8000000007</v>
      </c>
      <c r="F30" s="130"/>
      <c r="G30" s="970">
        <v>2436999.41</v>
      </c>
      <c r="H30" s="970">
        <f t="shared" si="2"/>
        <v>12443100</v>
      </c>
      <c r="I30" s="970">
        <v>14880099.41</v>
      </c>
      <c r="J30" s="970">
        <f t="shared" si="1"/>
        <v>9285047.1999999993</v>
      </c>
      <c r="K30" s="970">
        <v>2793842.8</v>
      </c>
      <c r="L30" s="970">
        <f t="shared" si="3"/>
        <v>2801209.4100000011</v>
      </c>
    </row>
    <row r="31" spans="1:12" x14ac:dyDescent="0.2">
      <c r="A31" s="1">
        <v>2080</v>
      </c>
      <c r="B31" s="178" t="s">
        <v>2726</v>
      </c>
      <c r="C31" s="970">
        <v>68353791.030000001</v>
      </c>
      <c r="D31" s="970">
        <v>17564697.370000001</v>
      </c>
      <c r="E31" s="970">
        <f t="shared" si="0"/>
        <v>50789093.659999996</v>
      </c>
      <c r="F31" s="130"/>
      <c r="G31" s="970">
        <v>11406216.530000001</v>
      </c>
      <c r="H31" s="970">
        <f t="shared" si="2"/>
        <v>28962675</v>
      </c>
      <c r="I31" s="970">
        <v>40368891.530000001</v>
      </c>
      <c r="J31" s="970">
        <f t="shared" si="1"/>
        <v>17564697.370000001</v>
      </c>
      <c r="K31" s="970">
        <v>0</v>
      </c>
      <c r="L31" s="970">
        <f t="shared" si="3"/>
        <v>22804194.16</v>
      </c>
    </row>
    <row r="32" spans="1:12" x14ac:dyDescent="0.2">
      <c r="A32" s="1">
        <v>2101</v>
      </c>
      <c r="B32" s="178" t="s">
        <v>2727</v>
      </c>
      <c r="C32" s="970">
        <v>14106833.08</v>
      </c>
      <c r="D32" s="970">
        <v>3192045.77</v>
      </c>
      <c r="E32" s="970">
        <f t="shared" si="0"/>
        <v>10914787.310000001</v>
      </c>
      <c r="F32" s="130"/>
      <c r="G32" s="970">
        <v>3331263.91</v>
      </c>
      <c r="H32" s="970">
        <f t="shared" si="2"/>
        <v>6051880</v>
      </c>
      <c r="I32" s="970">
        <v>9383143.9100000001</v>
      </c>
      <c r="J32" s="970">
        <f t="shared" si="1"/>
        <v>3192045.77</v>
      </c>
      <c r="K32" s="970">
        <v>0</v>
      </c>
      <c r="L32" s="970">
        <f t="shared" si="3"/>
        <v>6191098.1400000006</v>
      </c>
    </row>
    <row r="33" spans="1:12" x14ac:dyDescent="0.2">
      <c r="A33" s="1">
        <v>2104</v>
      </c>
      <c r="B33" s="178" t="s">
        <v>2728</v>
      </c>
      <c r="C33" s="970">
        <v>10206256.939999999</v>
      </c>
      <c r="D33" s="970">
        <v>4648837.66</v>
      </c>
      <c r="E33" s="970">
        <f t="shared" si="0"/>
        <v>5557419.2799999993</v>
      </c>
      <c r="F33" s="130"/>
      <c r="G33" s="970">
        <v>3313456.9399999995</v>
      </c>
      <c r="H33" s="970">
        <f t="shared" si="2"/>
        <v>5027100.0000000009</v>
      </c>
      <c r="I33" s="970">
        <v>8340556.9400000004</v>
      </c>
      <c r="J33" s="970">
        <f t="shared" si="1"/>
        <v>4648837.66</v>
      </c>
      <c r="K33" s="970">
        <v>0</v>
      </c>
      <c r="L33" s="970">
        <f t="shared" si="3"/>
        <v>3691719.2800000003</v>
      </c>
    </row>
    <row r="34" spans="1:12" x14ac:dyDescent="0.2">
      <c r="A34" s="1">
        <v>2106</v>
      </c>
      <c r="B34" s="178" t="s">
        <v>1696</v>
      </c>
      <c r="C34" s="970">
        <v>8867282.2400000002</v>
      </c>
      <c r="D34" s="970">
        <v>4232169.32</v>
      </c>
      <c r="E34" s="970">
        <f t="shared" si="0"/>
        <v>4635112.92</v>
      </c>
      <c r="F34" s="130"/>
      <c r="G34" s="970">
        <v>447460.25</v>
      </c>
      <c r="H34" s="970">
        <f t="shared" si="2"/>
        <v>4083930</v>
      </c>
      <c r="I34" s="970">
        <v>4531390.25</v>
      </c>
      <c r="J34" s="970">
        <f t="shared" si="1"/>
        <v>4232169.32</v>
      </c>
      <c r="K34" s="970">
        <v>0</v>
      </c>
      <c r="L34" s="970">
        <f t="shared" si="3"/>
        <v>299220.9299999997</v>
      </c>
    </row>
    <row r="35" spans="1:12" x14ac:dyDescent="0.2">
      <c r="A35" s="1">
        <v>2107</v>
      </c>
      <c r="B35" s="178" t="s">
        <v>2729</v>
      </c>
      <c r="C35" s="970">
        <v>6441881.6799999997</v>
      </c>
      <c r="D35" s="970">
        <v>71802.149999999994</v>
      </c>
      <c r="E35" s="970">
        <f t="shared" si="0"/>
        <v>6370079.5299999993</v>
      </c>
      <c r="F35" s="130"/>
      <c r="G35" s="970">
        <v>6441881.6799999997</v>
      </c>
      <c r="H35" s="970">
        <f t="shared" si="2"/>
        <v>0</v>
      </c>
      <c r="I35" s="970">
        <v>6441881.6799999997</v>
      </c>
      <c r="J35" s="970">
        <f t="shared" si="1"/>
        <v>71802.149999999994</v>
      </c>
      <c r="K35" s="970">
        <v>0</v>
      </c>
      <c r="L35" s="970">
        <f t="shared" si="3"/>
        <v>6370079.5299999993</v>
      </c>
    </row>
    <row r="36" spans="1:12" x14ac:dyDescent="0.2">
      <c r="A36" s="1">
        <v>2152</v>
      </c>
      <c r="B36" s="178" t="s">
        <v>2730</v>
      </c>
      <c r="C36" s="970">
        <v>14500979</v>
      </c>
      <c r="D36" s="970">
        <v>7379418.6600000001</v>
      </c>
      <c r="E36" s="970">
        <f t="shared" si="0"/>
        <v>7121560.3399999999</v>
      </c>
      <c r="F36" s="130"/>
      <c r="G36" s="970">
        <v>3427304.0599999987</v>
      </c>
      <c r="H36" s="970">
        <f t="shared" si="2"/>
        <v>7165750.0000000019</v>
      </c>
      <c r="I36" s="970">
        <v>10593054.060000001</v>
      </c>
      <c r="J36" s="970">
        <f t="shared" si="1"/>
        <v>7379418.6600000001</v>
      </c>
      <c r="K36" s="970">
        <v>0</v>
      </c>
      <c r="L36" s="970">
        <f t="shared" si="3"/>
        <v>3213635.4000000004</v>
      </c>
    </row>
    <row r="37" spans="1:12" x14ac:dyDescent="0.2">
      <c r="A37" s="1">
        <v>2155</v>
      </c>
      <c r="B37" s="178" t="s">
        <v>2731</v>
      </c>
      <c r="C37" s="970">
        <v>0</v>
      </c>
      <c r="D37" s="970">
        <v>0</v>
      </c>
      <c r="E37" s="970">
        <f t="shared" si="0"/>
        <v>0</v>
      </c>
      <c r="F37" s="130"/>
      <c r="G37" s="970">
        <v>165314.82</v>
      </c>
      <c r="H37" s="970">
        <f t="shared" si="2"/>
        <v>0</v>
      </c>
      <c r="I37" s="970">
        <v>165314.82</v>
      </c>
      <c r="J37" s="970">
        <f t="shared" si="1"/>
        <v>0</v>
      </c>
      <c r="K37" s="970">
        <v>0</v>
      </c>
      <c r="L37" s="970">
        <f t="shared" si="3"/>
        <v>165314.82</v>
      </c>
    </row>
    <row r="38" spans="1:12" x14ac:dyDescent="0.2">
      <c r="A38" s="1">
        <v>2156</v>
      </c>
      <c r="B38" s="178" t="s">
        <v>2732</v>
      </c>
      <c r="C38" s="970">
        <v>60713822.75</v>
      </c>
      <c r="D38" s="970">
        <v>28155074.18</v>
      </c>
      <c r="E38" s="970">
        <f t="shared" si="0"/>
        <v>32558748.57</v>
      </c>
      <c r="F38" s="130"/>
      <c r="G38" s="970">
        <v>3006252.75</v>
      </c>
      <c r="H38" s="970">
        <f t="shared" si="2"/>
        <v>37261848.5</v>
      </c>
      <c r="I38" s="970">
        <v>40268101.25</v>
      </c>
      <c r="J38" s="970">
        <f t="shared" si="1"/>
        <v>28155074.18</v>
      </c>
      <c r="K38" s="970">
        <v>0</v>
      </c>
      <c r="L38" s="970">
        <f t="shared" si="3"/>
        <v>12113027.07</v>
      </c>
    </row>
    <row r="39" spans="1:12" x14ac:dyDescent="0.2">
      <c r="A39" s="1">
        <v>2158</v>
      </c>
      <c r="B39" s="178" t="s">
        <v>2733</v>
      </c>
      <c r="C39" s="970">
        <v>4593557.47</v>
      </c>
      <c r="D39" s="970">
        <v>1335651.76</v>
      </c>
      <c r="E39" s="970">
        <f t="shared" si="0"/>
        <v>3257905.71</v>
      </c>
      <c r="F39" s="130"/>
      <c r="G39" s="970">
        <v>1820760.6100000003</v>
      </c>
      <c r="H39" s="970">
        <f t="shared" si="2"/>
        <v>2171649.9999999995</v>
      </c>
      <c r="I39" s="970">
        <v>3992410.61</v>
      </c>
      <c r="J39" s="970">
        <f t="shared" si="1"/>
        <v>1335651.76</v>
      </c>
      <c r="K39" s="970">
        <v>0</v>
      </c>
      <c r="L39" s="970">
        <f t="shared" si="3"/>
        <v>2656758.8499999996</v>
      </c>
    </row>
    <row r="40" spans="1:12" x14ac:dyDescent="0.2">
      <c r="A40" s="1">
        <v>2159</v>
      </c>
      <c r="B40" s="178" t="s">
        <v>2734</v>
      </c>
      <c r="C40" s="970">
        <v>234681000</v>
      </c>
      <c r="D40" s="970">
        <v>77484133.079999998</v>
      </c>
      <c r="E40" s="970">
        <f t="shared" si="0"/>
        <v>157196866.92000002</v>
      </c>
      <c r="F40" s="130"/>
      <c r="G40" s="970">
        <v>41805884.969999999</v>
      </c>
      <c r="H40" s="970">
        <f t="shared" si="2"/>
        <v>99208290</v>
      </c>
      <c r="I40" s="970">
        <v>141014174.97</v>
      </c>
      <c r="J40" s="970">
        <f t="shared" si="1"/>
        <v>77484133.079999998</v>
      </c>
      <c r="K40" s="970">
        <v>0</v>
      </c>
      <c r="L40" s="970">
        <f t="shared" si="3"/>
        <v>63530041.890000001</v>
      </c>
    </row>
    <row r="41" spans="1:12" x14ac:dyDescent="0.2">
      <c r="A41" s="1">
        <v>2163</v>
      </c>
      <c r="B41" s="178" t="s">
        <v>114</v>
      </c>
      <c r="C41" s="970">
        <v>60087309.210000001</v>
      </c>
      <c r="D41" s="970">
        <v>20890845.859999999</v>
      </c>
      <c r="E41" s="970">
        <f t="shared" si="0"/>
        <v>39196463.350000001</v>
      </c>
      <c r="F41" s="130"/>
      <c r="G41" s="970">
        <v>5825509.2100000009</v>
      </c>
      <c r="H41" s="970">
        <f t="shared" si="2"/>
        <v>22839190</v>
      </c>
      <c r="I41" s="970">
        <v>28664699.210000001</v>
      </c>
      <c r="J41" s="970">
        <f t="shared" si="1"/>
        <v>20890845.859999999</v>
      </c>
      <c r="K41" s="970">
        <v>105000</v>
      </c>
      <c r="L41" s="970">
        <f t="shared" si="3"/>
        <v>7668853.3500000015</v>
      </c>
    </row>
    <row r="42" spans="1:12" x14ac:dyDescent="0.2">
      <c r="A42" s="1">
        <v>2169</v>
      </c>
      <c r="B42" s="178" t="s">
        <v>816</v>
      </c>
      <c r="C42" s="970">
        <v>14765485.85</v>
      </c>
      <c r="D42" s="970">
        <v>8194960.8099999996</v>
      </c>
      <c r="E42" s="970">
        <f t="shared" si="0"/>
        <v>6570525.04</v>
      </c>
      <c r="F42" s="130"/>
      <c r="G42" s="970">
        <v>6084808.2200000007</v>
      </c>
      <c r="H42" s="970">
        <f t="shared" si="2"/>
        <v>5276783.8499999996</v>
      </c>
      <c r="I42" s="970">
        <v>11361592.07</v>
      </c>
      <c r="J42" s="970">
        <f t="shared" si="1"/>
        <v>8194960.8099999996</v>
      </c>
      <c r="K42" s="970">
        <v>0</v>
      </c>
      <c r="L42" s="970">
        <f t="shared" si="3"/>
        <v>3166631.2600000007</v>
      </c>
    </row>
    <row r="43" spans="1:12" x14ac:dyDescent="0.2">
      <c r="A43" s="1">
        <v>2173</v>
      </c>
      <c r="B43" s="178" t="s">
        <v>2735</v>
      </c>
      <c r="C43" s="970">
        <v>206705.75</v>
      </c>
      <c r="D43" s="970">
        <v>28915.1</v>
      </c>
      <c r="E43" s="970">
        <f t="shared" si="0"/>
        <v>177790.65</v>
      </c>
      <c r="F43" s="130"/>
      <c r="G43" s="970">
        <v>206705.75</v>
      </c>
      <c r="H43" s="970">
        <f t="shared" si="2"/>
        <v>0</v>
      </c>
      <c r="I43" s="970">
        <v>206705.75</v>
      </c>
      <c r="J43" s="970">
        <f t="shared" si="1"/>
        <v>28915.1</v>
      </c>
      <c r="K43" s="970">
        <v>0</v>
      </c>
      <c r="L43" s="970">
        <f t="shared" si="3"/>
        <v>177790.65</v>
      </c>
    </row>
    <row r="44" spans="1:12" x14ac:dyDescent="0.2">
      <c r="A44" s="1">
        <v>2174</v>
      </c>
      <c r="B44" s="178" t="s">
        <v>2736</v>
      </c>
      <c r="C44" s="970">
        <v>6137156.5999999996</v>
      </c>
      <c r="D44" s="970">
        <v>48030.05</v>
      </c>
      <c r="E44" s="970">
        <f t="shared" si="0"/>
        <v>6089126.5499999998</v>
      </c>
      <c r="F44" s="130"/>
      <c r="G44" s="970">
        <v>2220356.5999999978</v>
      </c>
      <c r="H44" s="970">
        <f t="shared" si="2"/>
        <v>2088000.0000000019</v>
      </c>
      <c r="I44" s="970">
        <v>4308356.5999999996</v>
      </c>
      <c r="J44" s="970">
        <f t="shared" si="1"/>
        <v>48030.05</v>
      </c>
      <c r="K44" s="970">
        <v>0</v>
      </c>
      <c r="L44" s="970">
        <f t="shared" si="3"/>
        <v>4260326.55</v>
      </c>
    </row>
    <row r="45" spans="1:12" x14ac:dyDescent="0.2">
      <c r="A45" s="1">
        <v>2177</v>
      </c>
      <c r="B45" s="178" t="s">
        <v>2737</v>
      </c>
      <c r="C45" s="970">
        <v>14595031.58</v>
      </c>
      <c r="D45" s="970">
        <v>4408421.41</v>
      </c>
      <c r="E45" s="970">
        <f t="shared" si="0"/>
        <v>10186610.17</v>
      </c>
      <c r="F45" s="130"/>
      <c r="G45" s="970">
        <v>1818231.5800000019</v>
      </c>
      <c r="H45" s="970">
        <f t="shared" si="2"/>
        <v>5336369.9999999981</v>
      </c>
      <c r="I45" s="970">
        <v>7154601.5800000001</v>
      </c>
      <c r="J45" s="970">
        <f t="shared" si="1"/>
        <v>4408421.41</v>
      </c>
      <c r="K45" s="970">
        <v>0</v>
      </c>
      <c r="L45" s="970">
        <f t="shared" si="3"/>
        <v>2746180.17</v>
      </c>
    </row>
    <row r="46" spans="1:12" x14ac:dyDescent="0.2">
      <c r="A46" s="1">
        <v>2178</v>
      </c>
      <c r="B46" s="178" t="s">
        <v>2738</v>
      </c>
      <c r="C46" s="970">
        <v>9344791.3399999999</v>
      </c>
      <c r="D46" s="970">
        <v>1657757.09</v>
      </c>
      <c r="E46" s="970">
        <f t="shared" si="0"/>
        <v>7687034.25</v>
      </c>
      <c r="F46" s="130"/>
      <c r="G46" s="970">
        <v>2774534.5399999996</v>
      </c>
      <c r="H46" s="970">
        <f t="shared" si="2"/>
        <v>3897931.0000000005</v>
      </c>
      <c r="I46" s="970">
        <v>6672465.54</v>
      </c>
      <c r="J46" s="970">
        <f t="shared" si="1"/>
        <v>1657757.09</v>
      </c>
      <c r="K46" s="970">
        <v>1040750</v>
      </c>
      <c r="L46" s="970">
        <f t="shared" si="3"/>
        <v>3973958.45</v>
      </c>
    </row>
    <row r="47" spans="1:12" x14ac:dyDescent="0.2">
      <c r="A47" s="1">
        <v>2201</v>
      </c>
      <c r="B47" s="178" t="s">
        <v>2739</v>
      </c>
      <c r="C47" s="970">
        <v>15597768.050000001</v>
      </c>
      <c r="D47" s="970">
        <v>5872233.8099999996</v>
      </c>
      <c r="E47" s="970">
        <f t="shared" si="0"/>
        <v>9725534.2400000021</v>
      </c>
      <c r="F47" s="130"/>
      <c r="G47" s="970">
        <v>418414.3900000006</v>
      </c>
      <c r="H47" s="970">
        <f t="shared" si="2"/>
        <v>7004579.9999999991</v>
      </c>
      <c r="I47" s="970">
        <v>7422994.3899999997</v>
      </c>
      <c r="J47" s="970">
        <f t="shared" si="1"/>
        <v>5872233.8099999996</v>
      </c>
      <c r="K47" s="970">
        <v>0</v>
      </c>
      <c r="L47" s="970">
        <f t="shared" si="3"/>
        <v>1550760.58</v>
      </c>
    </row>
    <row r="48" spans="1:12" x14ac:dyDescent="0.2">
      <c r="A48" s="1">
        <v>2202</v>
      </c>
      <c r="B48" s="178" t="s">
        <v>2740</v>
      </c>
      <c r="C48" s="970">
        <v>18381684.219999999</v>
      </c>
      <c r="D48" s="970">
        <v>8824606.3200000003</v>
      </c>
      <c r="E48" s="970">
        <f t="shared" si="0"/>
        <v>9557077.8999999985</v>
      </c>
      <c r="F48" s="130"/>
      <c r="G48" s="970">
        <v>5400024.9800000004</v>
      </c>
      <c r="H48" s="970">
        <f t="shared" si="2"/>
        <v>12180240</v>
      </c>
      <c r="I48" s="970">
        <v>17580264.98</v>
      </c>
      <c r="J48" s="970">
        <f t="shared" si="1"/>
        <v>8824606.3200000003</v>
      </c>
      <c r="K48" s="970">
        <v>0</v>
      </c>
      <c r="L48" s="970">
        <f t="shared" si="3"/>
        <v>8755658.6600000001</v>
      </c>
    </row>
    <row r="49" spans="1:12" x14ac:dyDescent="0.2">
      <c r="A49" s="1">
        <v>2205</v>
      </c>
      <c r="B49" s="178" t="s">
        <v>865</v>
      </c>
      <c r="C49" s="970">
        <v>14484602.02</v>
      </c>
      <c r="D49" s="970">
        <v>12640787.050000001</v>
      </c>
      <c r="E49" s="970">
        <f t="shared" si="0"/>
        <v>1843814.9699999988</v>
      </c>
      <c r="F49" s="130"/>
      <c r="G49" s="970">
        <v>1181253.25</v>
      </c>
      <c r="H49" s="970">
        <f t="shared" si="2"/>
        <v>14192935</v>
      </c>
      <c r="I49" s="970">
        <v>15374188.25</v>
      </c>
      <c r="J49" s="970">
        <f t="shared" si="1"/>
        <v>12640787.050000001</v>
      </c>
      <c r="K49" s="970">
        <v>0</v>
      </c>
      <c r="L49" s="970">
        <f t="shared" si="3"/>
        <v>2733401.1999999993</v>
      </c>
    </row>
    <row r="50" spans="1:12" x14ac:dyDescent="0.2">
      <c r="A50" s="1">
        <v>2206</v>
      </c>
      <c r="B50" s="178" t="s">
        <v>2741</v>
      </c>
      <c r="C50" s="970">
        <v>14958363.23</v>
      </c>
      <c r="D50" s="970">
        <v>5059173.5</v>
      </c>
      <c r="E50" s="970">
        <f t="shared" si="0"/>
        <v>9899189.7300000004</v>
      </c>
      <c r="F50" s="130"/>
      <c r="G50" s="970">
        <v>846363.23000000045</v>
      </c>
      <c r="H50" s="970">
        <f t="shared" si="2"/>
        <v>7804125</v>
      </c>
      <c r="I50" s="970">
        <v>8650488.2300000004</v>
      </c>
      <c r="J50" s="970">
        <f t="shared" si="1"/>
        <v>5059173.5</v>
      </c>
      <c r="K50" s="970">
        <v>0</v>
      </c>
      <c r="L50" s="970">
        <f t="shared" si="3"/>
        <v>3591314.7300000004</v>
      </c>
    </row>
    <row r="51" spans="1:12" x14ac:dyDescent="0.2">
      <c r="A51" s="1">
        <v>2209</v>
      </c>
      <c r="B51" s="178" t="s">
        <v>454</v>
      </c>
      <c r="C51" s="970">
        <v>1045068061.22</v>
      </c>
      <c r="D51" s="970">
        <v>366883202.97000003</v>
      </c>
      <c r="E51" s="970">
        <f t="shared" si="0"/>
        <v>678184858.25</v>
      </c>
      <c r="F51" s="130"/>
      <c r="G51" s="970">
        <v>77562598.039999917</v>
      </c>
      <c r="H51" s="970">
        <f t="shared" si="2"/>
        <v>487525088.51000005</v>
      </c>
      <c r="I51" s="970">
        <v>565087686.54999995</v>
      </c>
      <c r="J51" s="970">
        <f t="shared" si="1"/>
        <v>366883202.97000003</v>
      </c>
      <c r="K51" s="970">
        <v>6809341.8499999996</v>
      </c>
      <c r="L51" s="970">
        <f t="shared" si="3"/>
        <v>191395141.72999993</v>
      </c>
    </row>
    <row r="52" spans="1:12" x14ac:dyDescent="0.2">
      <c r="A52" s="1">
        <v>2210</v>
      </c>
      <c r="B52" s="178" t="s">
        <v>2742</v>
      </c>
      <c r="C52" s="970">
        <v>40083712</v>
      </c>
      <c r="D52" s="970">
        <v>14765314.34</v>
      </c>
      <c r="E52" s="970">
        <f t="shared" si="0"/>
        <v>25318397.66</v>
      </c>
      <c r="F52" s="130"/>
      <c r="G52" s="970">
        <v>3090570.7100000009</v>
      </c>
      <c r="H52" s="970">
        <f t="shared" si="2"/>
        <v>22411620</v>
      </c>
      <c r="I52" s="970">
        <v>25502190.710000001</v>
      </c>
      <c r="J52" s="970">
        <f t="shared" si="1"/>
        <v>14765314.34</v>
      </c>
      <c r="K52" s="970">
        <v>0</v>
      </c>
      <c r="L52" s="970">
        <f t="shared" si="3"/>
        <v>10736876.370000001</v>
      </c>
    </row>
    <row r="53" spans="1:12" x14ac:dyDescent="0.2">
      <c r="A53" s="1">
        <v>2211</v>
      </c>
      <c r="B53" s="178" t="s">
        <v>593</v>
      </c>
      <c r="C53" s="970">
        <v>19055195</v>
      </c>
      <c r="D53" s="970">
        <v>2076576.89</v>
      </c>
      <c r="E53" s="970">
        <f t="shared" si="0"/>
        <v>16978618.109999999</v>
      </c>
      <c r="F53" s="130"/>
      <c r="G53" s="970">
        <v>9455195.2300000004</v>
      </c>
      <c r="H53" s="970">
        <f t="shared" si="2"/>
        <v>7998280</v>
      </c>
      <c r="I53" s="970">
        <v>17453475.23</v>
      </c>
      <c r="J53" s="970">
        <f t="shared" si="1"/>
        <v>2076576.89</v>
      </c>
      <c r="K53" s="970">
        <v>620556</v>
      </c>
      <c r="L53" s="970">
        <f t="shared" si="3"/>
        <v>14756342.34</v>
      </c>
    </row>
    <row r="54" spans="1:12" x14ac:dyDescent="0.2">
      <c r="A54" s="1">
        <v>2213</v>
      </c>
      <c r="B54" s="178" t="s">
        <v>2743</v>
      </c>
      <c r="C54" s="970">
        <v>168708648</v>
      </c>
      <c r="D54" s="970">
        <v>78669010.579999998</v>
      </c>
      <c r="E54" s="970">
        <f t="shared" si="0"/>
        <v>90039637.420000002</v>
      </c>
      <c r="F54" s="130"/>
      <c r="G54" s="970">
        <v>9994250.3799999952</v>
      </c>
      <c r="H54" s="970">
        <f t="shared" si="2"/>
        <v>75613920</v>
      </c>
      <c r="I54" s="970">
        <v>85608170.379999995</v>
      </c>
      <c r="J54" s="970">
        <f t="shared" si="1"/>
        <v>78669010.579999998</v>
      </c>
      <c r="K54" s="970">
        <v>0</v>
      </c>
      <c r="L54" s="970">
        <f t="shared" si="3"/>
        <v>6939159.799999997</v>
      </c>
    </row>
    <row r="55" spans="1:12" x14ac:dyDescent="0.2">
      <c r="A55" s="1">
        <v>2215</v>
      </c>
      <c r="B55" s="178" t="s">
        <v>2744</v>
      </c>
      <c r="C55" s="970">
        <v>19550691.390000001</v>
      </c>
      <c r="D55" s="970">
        <v>7950692.1100000003</v>
      </c>
      <c r="E55" s="970">
        <f t="shared" si="0"/>
        <v>11599999.280000001</v>
      </c>
      <c r="F55" s="130"/>
      <c r="G55" s="970">
        <v>1082705.8200000003</v>
      </c>
      <c r="H55" s="970">
        <f t="shared" si="2"/>
        <v>5280860</v>
      </c>
      <c r="I55" s="970">
        <v>6363565.8200000003</v>
      </c>
      <c r="J55" s="970">
        <f t="shared" si="1"/>
        <v>7950692.1100000003</v>
      </c>
      <c r="K55" s="970">
        <v>0</v>
      </c>
      <c r="L55" s="970">
        <f t="shared" si="3"/>
        <v>-1587126.29</v>
      </c>
    </row>
    <row r="56" spans="1:12" x14ac:dyDescent="0.2">
      <c r="A56" s="1">
        <v>2216</v>
      </c>
      <c r="B56" s="178" t="s">
        <v>2745</v>
      </c>
      <c r="C56" s="970">
        <v>20150571.57</v>
      </c>
      <c r="D56" s="970">
        <v>4321981.43</v>
      </c>
      <c r="E56" s="970">
        <f t="shared" si="0"/>
        <v>15828590.140000001</v>
      </c>
      <c r="F56" s="130"/>
      <c r="G56" s="970">
        <v>383087.75999999978</v>
      </c>
      <c r="H56" s="970">
        <f t="shared" si="2"/>
        <v>7629625</v>
      </c>
      <c r="I56" s="970">
        <v>8012712.7599999998</v>
      </c>
      <c r="J56" s="970">
        <f t="shared" si="1"/>
        <v>4321981.43</v>
      </c>
      <c r="K56" s="970">
        <v>0</v>
      </c>
      <c r="L56" s="970">
        <f t="shared" si="3"/>
        <v>3690731.33</v>
      </c>
    </row>
    <row r="57" spans="1:12" x14ac:dyDescent="0.2">
      <c r="A57" s="1">
        <v>2217</v>
      </c>
      <c r="B57" s="178" t="s">
        <v>2746</v>
      </c>
      <c r="C57" s="970">
        <v>3503119.67</v>
      </c>
      <c r="D57" s="970">
        <v>2309053.16</v>
      </c>
      <c r="E57" s="970">
        <f t="shared" si="0"/>
        <v>1194066.5099999998</v>
      </c>
      <c r="F57" s="130"/>
      <c r="G57" s="970">
        <v>964095.94000000134</v>
      </c>
      <c r="H57" s="970">
        <f t="shared" si="2"/>
        <v>2850389.9999999986</v>
      </c>
      <c r="I57" s="970">
        <v>3814485.94</v>
      </c>
      <c r="J57" s="970">
        <f t="shared" si="1"/>
        <v>2309053.16</v>
      </c>
      <c r="K57" s="970">
        <v>0</v>
      </c>
      <c r="L57" s="970">
        <f t="shared" si="3"/>
        <v>1505432.7799999998</v>
      </c>
    </row>
    <row r="58" spans="1:12" x14ac:dyDescent="0.2">
      <c r="A58" s="1">
        <v>2250</v>
      </c>
      <c r="B58" s="178" t="s">
        <v>2747</v>
      </c>
      <c r="C58" s="970">
        <v>11691947.880000001</v>
      </c>
      <c r="D58" s="970">
        <v>3297087.18</v>
      </c>
      <c r="E58" s="970">
        <f t="shared" si="0"/>
        <v>8394860.7000000011</v>
      </c>
      <c r="F58" s="130"/>
      <c r="G58" s="970">
        <v>1537633.6899999995</v>
      </c>
      <c r="H58" s="970">
        <f t="shared" si="2"/>
        <v>5250025.0000000009</v>
      </c>
      <c r="I58" s="970">
        <v>6787658.6900000004</v>
      </c>
      <c r="J58" s="970">
        <f t="shared" si="1"/>
        <v>3297087.18</v>
      </c>
      <c r="K58" s="970">
        <v>0</v>
      </c>
      <c r="L58" s="970">
        <f t="shared" si="3"/>
        <v>3490571.5100000002</v>
      </c>
    </row>
    <row r="59" spans="1:12" x14ac:dyDescent="0.2">
      <c r="A59" s="1">
        <v>2252</v>
      </c>
      <c r="B59" s="178" t="s">
        <v>2748</v>
      </c>
      <c r="C59" s="970">
        <v>53156868.270000003</v>
      </c>
      <c r="D59" s="970">
        <v>14762285.24</v>
      </c>
      <c r="E59" s="970">
        <f t="shared" si="0"/>
        <v>38394583.030000001</v>
      </c>
      <c r="F59" s="130"/>
      <c r="G59" s="970">
        <v>10020586.9</v>
      </c>
      <c r="H59" s="970">
        <f t="shared" si="2"/>
        <v>28855731.649999999</v>
      </c>
      <c r="I59" s="970">
        <v>38876318.549999997</v>
      </c>
      <c r="J59" s="970">
        <f t="shared" si="1"/>
        <v>14762285.24</v>
      </c>
      <c r="K59" s="970">
        <v>2000000</v>
      </c>
      <c r="L59" s="970">
        <f t="shared" si="3"/>
        <v>22114033.309999995</v>
      </c>
    </row>
    <row r="60" spans="1:12" x14ac:dyDescent="0.2">
      <c r="A60" s="1">
        <v>2253</v>
      </c>
      <c r="B60" s="178" t="s">
        <v>2749</v>
      </c>
      <c r="C60" s="970">
        <v>38420520</v>
      </c>
      <c r="D60" s="970">
        <v>11079500.359999999</v>
      </c>
      <c r="E60" s="970">
        <f t="shared" si="0"/>
        <v>27341019.640000001</v>
      </c>
      <c r="F60" s="130"/>
      <c r="G60" s="970">
        <v>0</v>
      </c>
      <c r="H60" s="970">
        <f t="shared" si="2"/>
        <v>7086947.04</v>
      </c>
      <c r="I60" s="970">
        <v>7086947.04</v>
      </c>
      <c r="J60" s="970">
        <f t="shared" si="1"/>
        <v>11079500.359999999</v>
      </c>
      <c r="K60" s="970">
        <v>0</v>
      </c>
      <c r="L60" s="970">
        <f t="shared" si="3"/>
        <v>-3992553.3199999994</v>
      </c>
    </row>
    <row r="61" spans="1:12" x14ac:dyDescent="0.2">
      <c r="A61" s="1">
        <v>2254</v>
      </c>
      <c r="B61" s="178" t="s">
        <v>2750</v>
      </c>
      <c r="C61" s="970">
        <v>12580000</v>
      </c>
      <c r="D61" s="970">
        <v>778727.3</v>
      </c>
      <c r="E61" s="970">
        <f t="shared" si="0"/>
        <v>11801272.699999999</v>
      </c>
      <c r="F61" s="130"/>
      <c r="G61" s="970">
        <v>2554602.3000000007</v>
      </c>
      <c r="H61" s="970">
        <f t="shared" si="2"/>
        <v>10231930</v>
      </c>
      <c r="I61" s="970">
        <v>12786532.300000001</v>
      </c>
      <c r="J61" s="970">
        <f t="shared" si="1"/>
        <v>778727.3</v>
      </c>
      <c r="K61" s="970">
        <v>0</v>
      </c>
      <c r="L61" s="970">
        <f t="shared" si="3"/>
        <v>12007805</v>
      </c>
    </row>
    <row r="62" spans="1:12" x14ac:dyDescent="0.2">
      <c r="A62" s="1">
        <v>2255</v>
      </c>
      <c r="B62" s="178" t="s">
        <v>2751</v>
      </c>
      <c r="C62" s="970">
        <v>18500000</v>
      </c>
      <c r="D62" s="970">
        <v>5494385.2199999997</v>
      </c>
      <c r="E62" s="970">
        <f t="shared" si="0"/>
        <v>13005614.780000001</v>
      </c>
      <c r="F62" s="130"/>
      <c r="G62" s="970">
        <v>3374512.8600000013</v>
      </c>
      <c r="H62" s="970">
        <f t="shared" si="2"/>
        <v>8897262.9999999981</v>
      </c>
      <c r="I62" s="970">
        <v>12271775.859999999</v>
      </c>
      <c r="J62" s="970">
        <f t="shared" si="1"/>
        <v>5494385.2199999997</v>
      </c>
      <c r="K62" s="970">
        <v>0</v>
      </c>
      <c r="L62" s="970">
        <f t="shared" si="3"/>
        <v>6777390.6399999997</v>
      </c>
    </row>
    <row r="63" spans="1:12" x14ac:dyDescent="0.2">
      <c r="A63" s="1">
        <v>2257</v>
      </c>
      <c r="B63" s="178" t="s">
        <v>2752</v>
      </c>
      <c r="C63" s="970">
        <v>31738149.379999999</v>
      </c>
      <c r="D63" s="970">
        <v>14100391.23</v>
      </c>
      <c r="E63" s="970">
        <f t="shared" si="0"/>
        <v>17637758.149999999</v>
      </c>
      <c r="F63" s="130"/>
      <c r="G63" s="970">
        <v>4439205.379999999</v>
      </c>
      <c r="H63" s="970">
        <f t="shared" si="2"/>
        <v>13424090</v>
      </c>
      <c r="I63" s="970">
        <v>17863295.379999999</v>
      </c>
      <c r="J63" s="970">
        <f t="shared" si="1"/>
        <v>14100391.23</v>
      </c>
      <c r="K63" s="970">
        <v>0</v>
      </c>
      <c r="L63" s="970">
        <f t="shared" si="3"/>
        <v>3762904.1499999985</v>
      </c>
    </row>
    <row r="64" spans="1:12" x14ac:dyDescent="0.2">
      <c r="A64" s="1">
        <v>2259</v>
      </c>
      <c r="B64" s="178" t="s">
        <v>2753</v>
      </c>
      <c r="C64" s="970">
        <v>6275000</v>
      </c>
      <c r="D64" s="970">
        <v>219830</v>
      </c>
      <c r="E64" s="970">
        <f t="shared" si="0"/>
        <v>6055170</v>
      </c>
      <c r="F64" s="130"/>
      <c r="G64" s="970">
        <v>3250800</v>
      </c>
      <c r="H64" s="970">
        <f t="shared" si="2"/>
        <v>2367600</v>
      </c>
      <c r="I64" s="970">
        <v>5618400</v>
      </c>
      <c r="J64" s="970">
        <f t="shared" si="1"/>
        <v>219830</v>
      </c>
      <c r="K64" s="970">
        <v>0</v>
      </c>
      <c r="L64" s="970">
        <f t="shared" si="3"/>
        <v>5398570</v>
      </c>
    </row>
    <row r="65" spans="1:15" x14ac:dyDescent="0.2">
      <c r="A65" s="1">
        <v>2260</v>
      </c>
      <c r="B65" s="178" t="s">
        <v>3990</v>
      </c>
      <c r="C65" s="970">
        <v>14500000</v>
      </c>
      <c r="D65" s="970">
        <v>1906837.73</v>
      </c>
      <c r="E65" s="970">
        <f t="shared" si="0"/>
        <v>12593162.27</v>
      </c>
      <c r="F65" s="130"/>
      <c r="G65" s="970">
        <v>0</v>
      </c>
      <c r="H65" s="970">
        <f t="shared" si="2"/>
        <v>6745440</v>
      </c>
      <c r="I65" s="970">
        <v>6745440</v>
      </c>
      <c r="J65" s="970">
        <f t="shared" si="1"/>
        <v>1906837.73</v>
      </c>
      <c r="K65" s="970">
        <v>0</v>
      </c>
      <c r="L65" s="970">
        <f t="shared" si="3"/>
        <v>4838602.2699999996</v>
      </c>
    </row>
    <row r="66" spans="1:15" x14ac:dyDescent="0.2">
      <c r="B66" s="178" t="s">
        <v>468</v>
      </c>
      <c r="C66" s="970" t="s">
        <v>468</v>
      </c>
      <c r="F66" s="130"/>
      <c r="L66" s="970"/>
    </row>
    <row r="67" spans="1:15" ht="15" x14ac:dyDescent="0.25">
      <c r="B67" s="132" t="s">
        <v>1024</v>
      </c>
      <c r="C67" s="108">
        <f>SUM(C1:C66)</f>
        <v>2656094208.8100004</v>
      </c>
      <c r="D67" s="108">
        <f>SUM(D1:D66)</f>
        <v>914012641.51999998</v>
      </c>
      <c r="E67" s="108">
        <f>SUM(E1:E66)</f>
        <v>1742081567.2900002</v>
      </c>
      <c r="F67" s="130"/>
      <c r="G67" s="108">
        <f t="shared" ref="G67:L67" si="4">SUM(G1:G66)</f>
        <v>309729388.64999986</v>
      </c>
      <c r="H67" s="108">
        <f t="shared" si="4"/>
        <v>1238731692.0800002</v>
      </c>
      <c r="I67" s="108">
        <f t="shared" si="4"/>
        <v>1548461080.7300003</v>
      </c>
      <c r="J67" s="108">
        <f t="shared" si="4"/>
        <v>914012641.51999998</v>
      </c>
      <c r="K67" s="108">
        <f t="shared" si="4"/>
        <v>27544604.670000002</v>
      </c>
      <c r="L67" s="108">
        <f t="shared" si="4"/>
        <v>606903834.53999972</v>
      </c>
    </row>
    <row r="68" spans="1:15" x14ac:dyDescent="0.2">
      <c r="F68" s="130"/>
      <c r="L68" s="970"/>
    </row>
    <row r="69" spans="1:15" x14ac:dyDescent="0.2">
      <c r="A69" s="1">
        <v>4000</v>
      </c>
      <c r="B69" s="178" t="s">
        <v>2356</v>
      </c>
      <c r="C69" s="970">
        <v>-6094208.8099999996</v>
      </c>
      <c r="D69" s="970">
        <v>0</v>
      </c>
      <c r="E69" s="970">
        <f t="shared" ref="E69" si="5">C69-D69</f>
        <v>-6094208.8099999996</v>
      </c>
      <c r="F69" s="130"/>
      <c r="G69" s="970">
        <v>0</v>
      </c>
      <c r="H69" s="970">
        <v>0</v>
      </c>
      <c r="I69" s="970">
        <v>0</v>
      </c>
      <c r="J69" s="970">
        <f>D69</f>
        <v>0</v>
      </c>
      <c r="K69" s="970">
        <v>0</v>
      </c>
      <c r="L69" s="970">
        <f t="shared" ref="L69" si="6">I69-J69-K69</f>
        <v>0</v>
      </c>
    </row>
    <row r="70" spans="1:15" x14ac:dyDescent="0.2">
      <c r="F70" s="130"/>
      <c r="L70" s="970"/>
    </row>
    <row r="71" spans="1:15" ht="15.75" thickBot="1" x14ac:dyDescent="0.3">
      <c r="B71" s="982" t="s">
        <v>1025</v>
      </c>
      <c r="C71" s="983">
        <f>SUM(C68:C70)</f>
        <v>-6094208.8099999996</v>
      </c>
      <c r="F71" s="130"/>
      <c r="L71" s="970"/>
    </row>
    <row r="72" spans="1:15" x14ac:dyDescent="0.2">
      <c r="F72" s="130"/>
      <c r="L72" s="970"/>
    </row>
    <row r="73" spans="1:15" ht="9" customHeight="1" x14ac:dyDescent="0.2">
      <c r="A73" s="122"/>
      <c r="B73" s="764"/>
      <c r="C73" s="984"/>
      <c r="D73" s="984"/>
      <c r="E73" s="984"/>
      <c r="F73" s="985"/>
      <c r="G73" s="984"/>
      <c r="H73" s="984"/>
      <c r="I73" s="984"/>
      <c r="J73" s="984"/>
      <c r="K73" s="984"/>
      <c r="L73" s="984"/>
      <c r="O73" s="3"/>
    </row>
    <row r="74" spans="1:15" ht="15.75" thickBot="1" x14ac:dyDescent="0.3">
      <c r="A74" s="178"/>
      <c r="B74" s="982" t="s">
        <v>53</v>
      </c>
      <c r="C74" s="983">
        <f>C67+C71</f>
        <v>2650000000.0000005</v>
      </c>
      <c r="D74" s="983">
        <f>D67+D71</f>
        <v>914012641.51999998</v>
      </c>
      <c r="E74" s="983">
        <f>C74-D74</f>
        <v>1735987358.4800005</v>
      </c>
      <c r="F74" s="986"/>
      <c r="G74" s="983">
        <f t="shared" ref="G74:L74" si="7">G67+G71</f>
        <v>309729388.64999986</v>
      </c>
      <c r="H74" s="983">
        <f t="shared" si="7"/>
        <v>1238731692.0800002</v>
      </c>
      <c r="I74" s="983">
        <f>I67+I71</f>
        <v>1548461080.7300003</v>
      </c>
      <c r="J74" s="983">
        <f t="shared" si="7"/>
        <v>914012641.51999998</v>
      </c>
      <c r="K74" s="983">
        <f t="shared" si="7"/>
        <v>27544604.670000002</v>
      </c>
      <c r="L74" s="983">
        <f t="shared" si="7"/>
        <v>606903834.53999972</v>
      </c>
      <c r="M74" s="3"/>
    </row>
    <row r="75" spans="1:15" x14ac:dyDescent="0.2">
      <c r="C75" s="3"/>
      <c r="D75" s="3"/>
      <c r="E75" s="3"/>
      <c r="F75" s="3"/>
      <c r="G75" s="3"/>
      <c r="H75" s="3"/>
      <c r="I75" s="3"/>
      <c r="J75" s="3"/>
      <c r="K75" s="3"/>
      <c r="L75" s="3"/>
    </row>
    <row r="76" spans="1:15" x14ac:dyDescent="0.2">
      <c r="C76" s="3"/>
      <c r="D76" s="3"/>
      <c r="E76" s="3"/>
      <c r="F76" s="3"/>
      <c r="G76" s="3"/>
      <c r="H76" s="3"/>
      <c r="I76" s="1108" t="s">
        <v>251</v>
      </c>
      <c r="J76" s="1108"/>
      <c r="K76" s="1108"/>
      <c r="L76" s="19">
        <f>+L74</f>
        <v>606903834.53999972</v>
      </c>
    </row>
    <row r="77" spans="1:15" x14ac:dyDescent="0.2">
      <c r="B77" s="21"/>
      <c r="C77" s="3"/>
      <c r="D77" s="3"/>
      <c r="E77" s="3"/>
      <c r="F77" s="3"/>
      <c r="G77" s="3"/>
      <c r="H77" s="3"/>
      <c r="I77" s="19"/>
      <c r="J77" s="16"/>
      <c r="K77" s="16"/>
      <c r="L77" s="16"/>
    </row>
    <row r="78" spans="1:15" x14ac:dyDescent="0.2">
      <c r="B78" s="21"/>
      <c r="C78" s="3"/>
      <c r="D78" s="3"/>
      <c r="E78" s="3"/>
      <c r="F78" s="3"/>
      <c r="G78" s="3"/>
      <c r="H78" s="3"/>
      <c r="I78" s="1109" t="s">
        <v>3578</v>
      </c>
      <c r="J78" s="1109"/>
      <c r="K78" s="1109"/>
      <c r="L78" s="733">
        <f>+K74</f>
        <v>27544604.670000002</v>
      </c>
    </row>
    <row r="79" spans="1:15" x14ac:dyDescent="0.2">
      <c r="C79" s="3"/>
      <c r="D79" s="3"/>
      <c r="E79" s="3"/>
      <c r="F79" s="3"/>
      <c r="G79" s="3"/>
      <c r="H79" s="3"/>
      <c r="I79" s="19"/>
      <c r="J79" s="16"/>
      <c r="K79" s="16"/>
      <c r="L79" s="16"/>
    </row>
    <row r="80" spans="1:15" ht="13.5" thickBot="1" x14ac:dyDescent="0.25">
      <c r="C80" s="3"/>
      <c r="D80" s="3"/>
      <c r="E80" s="3"/>
      <c r="F80" s="3"/>
      <c r="G80" s="3"/>
      <c r="H80" s="3"/>
      <c r="I80" s="1108" t="s">
        <v>4173</v>
      </c>
      <c r="J80" s="1108"/>
      <c r="K80" s="1110"/>
      <c r="L80" s="734">
        <f>+L76+L78</f>
        <v>634448439.20999968</v>
      </c>
    </row>
    <row r="81" spans="10:12" ht="13.5" thickTop="1" x14ac:dyDescent="0.2">
      <c r="L81" s="970"/>
    </row>
    <row r="82" spans="10:12" x14ac:dyDescent="0.2">
      <c r="J82" s="970" t="s">
        <v>468</v>
      </c>
      <c r="L82" s="970" t="s">
        <v>468</v>
      </c>
    </row>
    <row r="83" spans="10:12" x14ac:dyDescent="0.2">
      <c r="L83" s="970"/>
    </row>
    <row r="84" spans="10:12" x14ac:dyDescent="0.2">
      <c r="L84" s="970"/>
    </row>
    <row r="85" spans="10:12" ht="17.25" customHeight="1" x14ac:dyDescent="0.2">
      <c r="L85" s="970"/>
    </row>
    <row r="86" spans="10:12" x14ac:dyDescent="0.2">
      <c r="L86" s="970"/>
    </row>
    <row r="87" spans="10:12" x14ac:dyDescent="0.2">
      <c r="L87" s="970"/>
    </row>
    <row r="88" spans="10:12" x14ac:dyDescent="0.2">
      <c r="L88" s="970"/>
    </row>
    <row r="89" spans="10:12" x14ac:dyDescent="0.2">
      <c r="L89" s="970"/>
    </row>
    <row r="90" spans="10:12" x14ac:dyDescent="0.2">
      <c r="L90" s="970"/>
    </row>
    <row r="91" spans="10:12" x14ac:dyDescent="0.2">
      <c r="L91" s="970"/>
    </row>
    <row r="92" spans="10:12" x14ac:dyDescent="0.2">
      <c r="L92" s="970"/>
    </row>
    <row r="93" spans="10:12" x14ac:dyDescent="0.2">
      <c r="L93" s="970"/>
    </row>
    <row r="94" spans="10:12" x14ac:dyDescent="0.2">
      <c r="L94" s="970"/>
    </row>
    <row r="95" spans="10:12" x14ac:dyDescent="0.2">
      <c r="L95" s="970"/>
    </row>
    <row r="96" spans="10:12" x14ac:dyDescent="0.2">
      <c r="L96" s="970"/>
    </row>
    <row r="97" spans="12:12" x14ac:dyDescent="0.2">
      <c r="L97" s="970"/>
    </row>
    <row r="98" spans="12:12" x14ac:dyDescent="0.2">
      <c r="L98" s="970"/>
    </row>
    <row r="99" spans="12:12" x14ac:dyDescent="0.2">
      <c r="L99" s="970"/>
    </row>
    <row r="100" spans="12:12" x14ac:dyDescent="0.2">
      <c r="L100" s="970"/>
    </row>
    <row r="101" spans="12:12" x14ac:dyDescent="0.2">
      <c r="L101" s="970"/>
    </row>
    <row r="102" spans="12:12" x14ac:dyDescent="0.2">
      <c r="L102" s="970"/>
    </row>
    <row r="103" spans="12:12" x14ac:dyDescent="0.2">
      <c r="L103" s="970"/>
    </row>
    <row r="104" spans="12:12" x14ac:dyDescent="0.2">
      <c r="L104" s="970"/>
    </row>
  </sheetData>
  <mergeCells count="5">
    <mergeCell ref="A2:E2"/>
    <mergeCell ref="G2:L2"/>
    <mergeCell ref="I76:K76"/>
    <mergeCell ref="I78:K78"/>
    <mergeCell ref="I80:K80"/>
  </mergeCells>
  <phoneticPr fontId="20" type="noConversion"/>
  <pageMargins left="1.0629921259842521" right="3.937007874015748E-2" top="1.5354330708661419" bottom="0.78740157480314965" header="0.62992125984251968" footer="0.59055118110236227"/>
  <pageSetup paperSize="9" scale="65" orientation="landscape" r:id="rId1"/>
  <headerFooter alignWithMargins="0">
    <oddHeader>&amp;C&amp;"Arial,Negrita"UNIVERSIDAD DE COSTA RICA
VICERRECTORÍA DE ADMINISTRACIÓN
OFICINA DE ADMINISTRACIÓN FINANCIERA
ESTADO GENERAL POR UNIDADES PROYECTOS VÍNCULO EXTERNO
PROG. DE POSG. CON FINANC. COMPLEMENTARIO
Al 30 de junio de 2017
(Expresado en colones)</oddHeader>
    <oddFooter>&amp;C&amp;P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B14" sqref="B14"/>
    </sheetView>
  </sheetViews>
  <sheetFormatPr baseColWidth="10" defaultRowHeight="12.75" x14ac:dyDescent="0.2"/>
  <sheetData/>
  <phoneticPr fontId="0" type="noConversion"/>
  <printOptions horizontalCentered="1" verticalCentered="1"/>
  <pageMargins left="1.1811023622047245" right="0.74803149606299213" top="0" bottom="0.98425196850393704" header="0" footer="0"/>
  <pageSetup paperSize="9" scale="95"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9"/>
  <sheetViews>
    <sheetView workbookViewId="0">
      <selection activeCell="F15" sqref="F15"/>
    </sheetView>
  </sheetViews>
  <sheetFormatPr baseColWidth="10" defaultRowHeight="12.75" x14ac:dyDescent="0.2"/>
  <sheetData>
    <row r="19" spans="1:1" x14ac:dyDescent="0.2">
      <c r="A19" s="2"/>
    </row>
  </sheetData>
  <phoneticPr fontId="0" type="noConversion"/>
  <printOptions horizontalCentered="1" verticalCentered="1"/>
  <pageMargins left="1.1811023622047245" right="0.74803149606299213" top="0" bottom="0.98425196850393704" header="0" footer="0"/>
  <pageSetup paperSize="9" scale="95" firstPageNumber="54"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9"/>
  <sheetViews>
    <sheetView workbookViewId="0">
      <selection activeCell="I35" sqref="I35"/>
    </sheetView>
  </sheetViews>
  <sheetFormatPr baseColWidth="10" defaultRowHeight="12.75" x14ac:dyDescent="0.2"/>
  <sheetData>
    <row r="19" spans="1:1" x14ac:dyDescent="0.2">
      <c r="A19" s="2"/>
    </row>
  </sheetData>
  <phoneticPr fontId="0" type="noConversion"/>
  <printOptions horizontalCentered="1" verticalCentered="1"/>
  <pageMargins left="1.1811023622047245" right="0.74803149606299213" top="0" bottom="0.98425196850393704" header="0" footer="0"/>
  <pageSetup paperSize="9" scale="95" firstPageNumber="55"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9"/>
  <sheetViews>
    <sheetView workbookViewId="0">
      <selection activeCell="G46" sqref="G46"/>
    </sheetView>
  </sheetViews>
  <sheetFormatPr baseColWidth="10" defaultRowHeight="12.75" x14ac:dyDescent="0.2"/>
  <sheetData>
    <row r="19" spans="1:1" x14ac:dyDescent="0.2">
      <c r="A19" s="2"/>
    </row>
  </sheetData>
  <phoneticPr fontId="0" type="noConversion"/>
  <printOptions horizontalCentered="1" verticalCentered="1"/>
  <pageMargins left="0.98425196850393704" right="0.75" top="1.55" bottom="1" header="0" footer="0"/>
  <pageSetup paperSize="9" scale="95" firstPageNumber="57"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I175"/>
  <sheetViews>
    <sheetView topLeftCell="A157" workbookViewId="0">
      <selection activeCell="A172" sqref="A172"/>
    </sheetView>
  </sheetViews>
  <sheetFormatPr baseColWidth="10" defaultColWidth="11.42578125" defaultRowHeight="12.75" x14ac:dyDescent="0.2"/>
  <cols>
    <col min="1" max="1" width="17" style="18" customWidth="1"/>
    <col min="2" max="2" width="46.85546875" style="17" customWidth="1"/>
    <col min="3" max="7" width="17.28515625" style="17" customWidth="1"/>
    <col min="8" max="16384" width="11.42578125" style="17"/>
  </cols>
  <sheetData>
    <row r="1" spans="1:7" ht="13.5" thickBot="1" x14ac:dyDescent="0.25">
      <c r="A1" s="800"/>
      <c r="B1" s="647"/>
      <c r="C1" s="647"/>
      <c r="D1" s="801"/>
      <c r="E1" s="647"/>
      <c r="F1" s="647"/>
      <c r="G1" s="647"/>
    </row>
    <row r="2" spans="1:7" x14ac:dyDescent="0.2">
      <c r="A2" s="133" t="s">
        <v>52</v>
      </c>
      <c r="B2" s="133" t="s">
        <v>1666</v>
      </c>
      <c r="C2" s="134" t="s">
        <v>90</v>
      </c>
      <c r="D2" s="134" t="s">
        <v>2547</v>
      </c>
      <c r="E2" s="134" t="s">
        <v>90</v>
      </c>
      <c r="F2" s="134" t="s">
        <v>1370</v>
      </c>
      <c r="G2" s="134" t="s">
        <v>125</v>
      </c>
    </row>
    <row r="3" spans="1:7" ht="13.5" thickBot="1" x14ac:dyDescent="0.25">
      <c r="A3" s="802" t="s">
        <v>1370</v>
      </c>
      <c r="B3" s="802" t="s">
        <v>1370</v>
      </c>
      <c r="C3" s="803" t="s">
        <v>1371</v>
      </c>
      <c r="D3" s="803" t="s">
        <v>2548</v>
      </c>
      <c r="E3" s="803" t="s">
        <v>89</v>
      </c>
      <c r="F3" s="803" t="s">
        <v>91</v>
      </c>
      <c r="G3" s="803" t="s">
        <v>1372</v>
      </c>
    </row>
    <row r="4" spans="1:7" x14ac:dyDescent="0.2">
      <c r="A4" s="135"/>
      <c r="B4" s="136"/>
      <c r="C4" s="137"/>
      <c r="D4" s="138"/>
      <c r="E4" s="137"/>
      <c r="F4" s="136"/>
      <c r="G4" s="136"/>
    </row>
    <row r="5" spans="1:7" x14ac:dyDescent="0.2">
      <c r="A5" s="150" t="s">
        <v>3254</v>
      </c>
      <c r="B5" s="151" t="s">
        <v>1339</v>
      </c>
      <c r="C5" s="147">
        <f>C7+C25+C117</f>
        <v>286065278065</v>
      </c>
      <c r="D5" s="147">
        <f>SUM(E5-C5)</f>
        <v>14243433190.070007</v>
      </c>
      <c r="E5" s="147">
        <f>E7+E25+E117</f>
        <v>300308711255.07001</v>
      </c>
      <c r="F5" s="147">
        <f>F7+F25+F117</f>
        <v>157885112285.20001</v>
      </c>
      <c r="G5" s="147">
        <f>E5-F5</f>
        <v>142423598969.87</v>
      </c>
    </row>
    <row r="6" spans="1:7" x14ac:dyDescent="0.2">
      <c r="A6" s="135"/>
      <c r="B6" s="136"/>
      <c r="C6" s="137"/>
      <c r="D6" s="138"/>
      <c r="E6" s="137"/>
      <c r="F6" s="137"/>
      <c r="G6" s="137"/>
    </row>
    <row r="7" spans="1:7" x14ac:dyDescent="0.2">
      <c r="A7" s="145" t="s">
        <v>3255</v>
      </c>
      <c r="B7" s="146" t="s">
        <v>1340</v>
      </c>
      <c r="C7" s="147">
        <f>SUM(C20+C9)</f>
        <v>536600000</v>
      </c>
      <c r="D7" s="148">
        <f>SUM(E7-C7)</f>
        <v>0</v>
      </c>
      <c r="E7" s="147">
        <f>SUM(E20+E9)</f>
        <v>536600000</v>
      </c>
      <c r="F7" s="147">
        <f>SUM(F20+F9)</f>
        <v>288196683.53999996</v>
      </c>
      <c r="G7" s="147">
        <f>E7-F7</f>
        <v>248403316.46000004</v>
      </c>
    </row>
    <row r="8" spans="1:7" x14ac:dyDescent="0.2">
      <c r="A8" s="145"/>
      <c r="B8" s="146"/>
      <c r="C8" s="144"/>
      <c r="D8" s="149"/>
      <c r="E8" s="144"/>
      <c r="F8" s="144"/>
      <c r="G8" s="144"/>
    </row>
    <row r="9" spans="1:7" x14ac:dyDescent="0.2">
      <c r="A9" s="150" t="s">
        <v>3256</v>
      </c>
      <c r="B9" s="151" t="s">
        <v>1341</v>
      </c>
      <c r="C9" s="147">
        <f>SUM(C11)</f>
        <v>426000000</v>
      </c>
      <c r="D9" s="148">
        <f>SUM(E9-C9)</f>
        <v>0</v>
      </c>
      <c r="E9" s="147">
        <f>SUM(E11)</f>
        <v>426000000</v>
      </c>
      <c r="F9" s="147">
        <f>SUM(F11)</f>
        <v>202232564.13</v>
      </c>
      <c r="G9" s="147">
        <f>E9-F9</f>
        <v>223767435.87</v>
      </c>
    </row>
    <row r="10" spans="1:7" x14ac:dyDescent="0.2">
      <c r="A10" s="150"/>
      <c r="B10" s="151"/>
      <c r="C10" s="144"/>
      <c r="D10" s="149"/>
      <c r="E10" s="144"/>
      <c r="F10" s="144"/>
      <c r="G10" s="144"/>
    </row>
    <row r="11" spans="1:7" x14ac:dyDescent="0.2">
      <c r="A11" s="150" t="s">
        <v>3257</v>
      </c>
      <c r="B11" s="151" t="s">
        <v>1342</v>
      </c>
      <c r="C11" s="147">
        <f>SUM(C13)</f>
        <v>426000000</v>
      </c>
      <c r="D11" s="147">
        <f>SUM(E11-C11)</f>
        <v>0</v>
      </c>
      <c r="E11" s="147">
        <f>SUM(E13)</f>
        <v>426000000</v>
      </c>
      <c r="F11" s="147">
        <f>SUM(F13)</f>
        <v>202232564.13</v>
      </c>
      <c r="G11" s="147">
        <f>SUM(E11-F11)</f>
        <v>223767435.87</v>
      </c>
    </row>
    <row r="12" spans="1:7" x14ac:dyDescent="0.2">
      <c r="A12" s="135"/>
      <c r="B12" s="136"/>
      <c r="C12" s="137"/>
      <c r="D12" s="137"/>
      <c r="E12" s="137"/>
      <c r="F12" s="137"/>
      <c r="G12" s="137"/>
    </row>
    <row r="13" spans="1:7" x14ac:dyDescent="0.2">
      <c r="A13" s="152" t="s">
        <v>3258</v>
      </c>
      <c r="B13" s="153" t="s">
        <v>2549</v>
      </c>
      <c r="C13" s="154">
        <f>SUM(C14+C17)</f>
        <v>426000000</v>
      </c>
      <c r="D13" s="154">
        <f>SUM(E13-C13)</f>
        <v>0</v>
      </c>
      <c r="E13" s="154">
        <f>SUM(E14+E17)</f>
        <v>426000000</v>
      </c>
      <c r="F13" s="154">
        <f>SUM(F14+F17)</f>
        <v>202232564.13</v>
      </c>
      <c r="G13" s="154">
        <f>SUM(E13-F13)</f>
        <v>223767435.87</v>
      </c>
    </row>
    <row r="14" spans="1:7" x14ac:dyDescent="0.2">
      <c r="A14" s="152" t="s">
        <v>3259</v>
      </c>
      <c r="B14" s="153" t="s">
        <v>1343</v>
      </c>
      <c r="C14" s="154">
        <f>SUM(C15)</f>
        <v>106000000</v>
      </c>
      <c r="D14" s="154">
        <f>SUM(E14-C14)</f>
        <v>0</v>
      </c>
      <c r="E14" s="154">
        <f>SUM(E15)</f>
        <v>106000000</v>
      </c>
      <c r="F14" s="154">
        <f>SUM(F15)</f>
        <v>54940360.689999998</v>
      </c>
      <c r="G14" s="154">
        <f>SUM(E14-F14)</f>
        <v>51059639.310000002</v>
      </c>
    </row>
    <row r="15" spans="1:7" x14ac:dyDescent="0.2">
      <c r="A15" s="267" t="s">
        <v>3260</v>
      </c>
      <c r="B15" s="136" t="s">
        <v>2550</v>
      </c>
      <c r="C15" s="137">
        <v>106000000</v>
      </c>
      <c r="D15" s="138">
        <f>SUM(E15-C15)</f>
        <v>0</v>
      </c>
      <c r="E15" s="137">
        <v>106000000</v>
      </c>
      <c r="F15" s="137">
        <v>54940360.689999998</v>
      </c>
      <c r="G15" s="137">
        <f>E15-F15</f>
        <v>51059639.310000002</v>
      </c>
    </row>
    <row r="16" spans="1:7" x14ac:dyDescent="0.2">
      <c r="A16" s="267"/>
      <c r="B16" s="136"/>
      <c r="C16" s="137"/>
      <c r="D16" s="138"/>
      <c r="E16" s="137"/>
      <c r="F16" s="137"/>
      <c r="G16" s="137"/>
    </row>
    <row r="17" spans="1:7" x14ac:dyDescent="0.2">
      <c r="A17" s="152" t="s">
        <v>3261</v>
      </c>
      <c r="B17" s="153" t="s">
        <v>1344</v>
      </c>
      <c r="C17" s="154">
        <f>SUM(C18)</f>
        <v>320000000</v>
      </c>
      <c r="D17" s="154">
        <f>SUM(E17-C17)</f>
        <v>0</v>
      </c>
      <c r="E17" s="154">
        <f>SUM(E18)</f>
        <v>320000000</v>
      </c>
      <c r="F17" s="154">
        <f>SUM(F18)</f>
        <v>147292203.44</v>
      </c>
      <c r="G17" s="154">
        <f>SUM(E17-F17)</f>
        <v>172707796.56</v>
      </c>
    </row>
    <row r="18" spans="1:7" x14ac:dyDescent="0.2">
      <c r="A18" s="267" t="s">
        <v>3262</v>
      </c>
      <c r="B18" s="136" t="s">
        <v>1345</v>
      </c>
      <c r="C18" s="137">
        <v>320000000</v>
      </c>
      <c r="D18" s="138">
        <f>SUM(E18-C18)</f>
        <v>0</v>
      </c>
      <c r="E18" s="137">
        <v>320000000</v>
      </c>
      <c r="F18" s="137">
        <v>147292203.44</v>
      </c>
      <c r="G18" s="137">
        <f>E18-F18</f>
        <v>172707796.56</v>
      </c>
    </row>
    <row r="19" spans="1:7" x14ac:dyDescent="0.2">
      <c r="A19" s="267"/>
      <c r="B19" s="136"/>
      <c r="C19" s="137"/>
      <c r="D19" s="138"/>
      <c r="E19" s="137"/>
      <c r="F19" s="137"/>
      <c r="G19" s="137"/>
    </row>
    <row r="20" spans="1:7" x14ac:dyDescent="0.2">
      <c r="A20" s="150" t="s">
        <v>3263</v>
      </c>
      <c r="B20" s="151" t="s">
        <v>1305</v>
      </c>
      <c r="C20" s="147">
        <f>SUM(C21)</f>
        <v>110600000</v>
      </c>
      <c r="D20" s="147">
        <f>SUM(E20-C20)</f>
        <v>0</v>
      </c>
      <c r="E20" s="147">
        <f>SUM(E21)</f>
        <v>110600000</v>
      </c>
      <c r="F20" s="147">
        <f>SUM(F21)</f>
        <v>85964119.409999996</v>
      </c>
      <c r="G20" s="147">
        <f>SUM(E20-F20)</f>
        <v>24635880.590000004</v>
      </c>
    </row>
    <row r="21" spans="1:7" x14ac:dyDescent="0.2">
      <c r="A21" s="152" t="s">
        <v>3264</v>
      </c>
      <c r="B21" s="153" t="s">
        <v>2551</v>
      </c>
      <c r="C21" s="154">
        <f>SUM(C22:C23)</f>
        <v>110600000</v>
      </c>
      <c r="D21" s="154">
        <f>SUM(E21-C21)</f>
        <v>0</v>
      </c>
      <c r="E21" s="154">
        <f>SUM(E22:E23)</f>
        <v>110600000</v>
      </c>
      <c r="F21" s="154">
        <f>SUM(F22:F23)</f>
        <v>85964119.409999996</v>
      </c>
      <c r="G21" s="154">
        <f>SUM(G22:G23)</f>
        <v>24635880.590000004</v>
      </c>
    </row>
    <row r="22" spans="1:7" x14ac:dyDescent="0.2">
      <c r="A22" s="267" t="s">
        <v>3265</v>
      </c>
      <c r="B22" s="136" t="s">
        <v>1346</v>
      </c>
      <c r="C22" s="137">
        <v>110000000</v>
      </c>
      <c r="D22" s="138">
        <f>E22-C22</f>
        <v>0</v>
      </c>
      <c r="E22" s="137">
        <v>110000000</v>
      </c>
      <c r="F22" s="137">
        <v>85964119.409999996</v>
      </c>
      <c r="G22" s="137">
        <f>E22-F22</f>
        <v>24035880.590000004</v>
      </c>
    </row>
    <row r="23" spans="1:7" x14ac:dyDescent="0.2">
      <c r="A23" s="267" t="s">
        <v>3266</v>
      </c>
      <c r="B23" s="136" t="s">
        <v>1373</v>
      </c>
      <c r="C23" s="137">
        <v>600000</v>
      </c>
      <c r="D23" s="138">
        <f>E23-C23</f>
        <v>0</v>
      </c>
      <c r="E23" s="137">
        <v>600000</v>
      </c>
      <c r="F23" s="137">
        <v>0</v>
      </c>
      <c r="G23" s="137">
        <f>E23-F23</f>
        <v>600000</v>
      </c>
    </row>
    <row r="24" spans="1:7" x14ac:dyDescent="0.2">
      <c r="A24" s="152"/>
      <c r="B24" s="153"/>
      <c r="C24" s="137"/>
      <c r="D24" s="138"/>
      <c r="E24" s="137"/>
      <c r="F24" s="137"/>
      <c r="G24" s="137"/>
    </row>
    <row r="25" spans="1:7" x14ac:dyDescent="0.2">
      <c r="A25" s="150" t="s">
        <v>3267</v>
      </c>
      <c r="B25" s="151" t="s">
        <v>1347</v>
      </c>
      <c r="C25" s="147">
        <f>SUM(C27+C84+C97+C105)</f>
        <v>16734326669.33</v>
      </c>
      <c r="D25" s="147">
        <f>SUM(D27+D81+D94+D102)</f>
        <v>0</v>
      </c>
      <c r="E25" s="147">
        <f>SUM(E27+E84+E97+E105)</f>
        <v>16734326669.33</v>
      </c>
      <c r="F25" s="147">
        <f>SUM(F27+F84+F97+F105)</f>
        <v>9521397382.6300011</v>
      </c>
      <c r="G25" s="147">
        <f>SUM(G27+G81+G94+G102)</f>
        <v>6725927734.2600002</v>
      </c>
    </row>
    <row r="26" spans="1:7" x14ac:dyDescent="0.2">
      <c r="A26" s="142"/>
      <c r="B26" s="143"/>
      <c r="C26" s="144"/>
      <c r="D26" s="149"/>
      <c r="E26" s="144"/>
      <c r="F26" s="144"/>
      <c r="G26" s="144"/>
    </row>
    <row r="27" spans="1:7" x14ac:dyDescent="0.2">
      <c r="A27" s="150" t="s">
        <v>3268</v>
      </c>
      <c r="B27" s="151" t="s">
        <v>87</v>
      </c>
      <c r="C27" s="147">
        <f>C29+C39+C65</f>
        <v>12523326669.33</v>
      </c>
      <c r="D27" s="148">
        <f>E27-C27</f>
        <v>0</v>
      </c>
      <c r="E27" s="147">
        <f>E29+E39+E65</f>
        <v>12523326669.33</v>
      </c>
      <c r="F27" s="147">
        <f>F29+F39+F65</f>
        <v>5982243370.1599998</v>
      </c>
      <c r="G27" s="147">
        <f>E27-F27</f>
        <v>6541083299.1700001</v>
      </c>
    </row>
    <row r="28" spans="1:7" x14ac:dyDescent="0.2">
      <c r="A28" s="150"/>
      <c r="B28" s="151"/>
      <c r="C28" s="144"/>
      <c r="D28" s="149"/>
      <c r="E28" s="144"/>
      <c r="F28" s="144"/>
      <c r="G28" s="144"/>
    </row>
    <row r="29" spans="1:7" x14ac:dyDescent="0.2">
      <c r="A29" s="150" t="s">
        <v>3269</v>
      </c>
      <c r="B29" s="151" t="s">
        <v>1140</v>
      </c>
      <c r="C29" s="147">
        <f>SUM(C31+C35)</f>
        <v>835000000</v>
      </c>
      <c r="D29" s="148">
        <f>E29-C29</f>
        <v>0</v>
      </c>
      <c r="E29" s="147">
        <f>SUM(E31+E35)</f>
        <v>835000000</v>
      </c>
      <c r="F29" s="147">
        <f>SUM(F31+F35)</f>
        <v>395419055.54000002</v>
      </c>
      <c r="G29" s="147">
        <f>SUM(G31+G35)</f>
        <v>439580944.45999998</v>
      </c>
    </row>
    <row r="30" spans="1:7" x14ac:dyDescent="0.2">
      <c r="A30" s="135"/>
      <c r="B30" s="136"/>
      <c r="C30" s="144"/>
      <c r="D30" s="149"/>
      <c r="E30" s="144"/>
      <c r="F30" s="144"/>
      <c r="G30" s="144"/>
    </row>
    <row r="31" spans="1:7" x14ac:dyDescent="0.2">
      <c r="A31" s="152" t="s">
        <v>3270</v>
      </c>
      <c r="B31" s="153" t="s">
        <v>1348</v>
      </c>
      <c r="C31" s="154">
        <f>SUM(C32:C33)</f>
        <v>135000000</v>
      </c>
      <c r="D31" s="155">
        <f>E31-C31</f>
        <v>0</v>
      </c>
      <c r="E31" s="154">
        <f>SUM(E32:E33)</f>
        <v>135000000</v>
      </c>
      <c r="F31" s="154">
        <f>SUM(F32:F33)</f>
        <v>56855375.359999999</v>
      </c>
      <c r="G31" s="154">
        <f>E31-F31</f>
        <v>78144624.640000001</v>
      </c>
    </row>
    <row r="32" spans="1:7" x14ac:dyDescent="0.2">
      <c r="A32" s="267" t="s">
        <v>3271</v>
      </c>
      <c r="B32" s="136" t="s">
        <v>180</v>
      </c>
      <c r="C32" s="137">
        <v>65000000</v>
      </c>
      <c r="D32" s="138">
        <f>E32-C32</f>
        <v>0</v>
      </c>
      <c r="E32" s="137">
        <v>65000000</v>
      </c>
      <c r="F32" s="137">
        <v>25599889.59</v>
      </c>
      <c r="G32" s="137">
        <f>E32-F32</f>
        <v>39400110.409999996</v>
      </c>
    </row>
    <row r="33" spans="1:7" x14ac:dyDescent="0.2">
      <c r="A33" s="267" t="s">
        <v>3272</v>
      </c>
      <c r="B33" s="136" t="s">
        <v>181</v>
      </c>
      <c r="C33" s="137">
        <v>70000000</v>
      </c>
      <c r="D33" s="138">
        <f>E33-C33</f>
        <v>0</v>
      </c>
      <c r="E33" s="137">
        <v>70000000</v>
      </c>
      <c r="F33" s="137">
        <v>31255485.77</v>
      </c>
      <c r="G33" s="137">
        <f>E33-F33</f>
        <v>38744514.230000004</v>
      </c>
    </row>
    <row r="34" spans="1:7" x14ac:dyDescent="0.2">
      <c r="A34" s="139"/>
      <c r="B34" s="136"/>
      <c r="C34" s="137"/>
      <c r="D34" s="149"/>
      <c r="E34" s="144"/>
      <c r="F34" s="144"/>
      <c r="G34" s="144"/>
    </row>
    <row r="35" spans="1:7" x14ac:dyDescent="0.2">
      <c r="A35" s="156" t="s">
        <v>3273</v>
      </c>
      <c r="B35" s="153" t="s">
        <v>182</v>
      </c>
      <c r="C35" s="154">
        <f>SUM(C36:C36)</f>
        <v>700000000</v>
      </c>
      <c r="D35" s="155">
        <f>E35-C35</f>
        <v>0</v>
      </c>
      <c r="E35" s="154">
        <f>SUM(E36:E36)</f>
        <v>700000000</v>
      </c>
      <c r="F35" s="154">
        <f>SUM(F36:F36)</f>
        <v>338563680.18000001</v>
      </c>
      <c r="G35" s="154">
        <f>SUM(E35-F35)</f>
        <v>361436319.81999999</v>
      </c>
    </row>
    <row r="36" spans="1:7" x14ac:dyDescent="0.2">
      <c r="A36" s="267" t="s">
        <v>3274</v>
      </c>
      <c r="B36" s="136" t="s">
        <v>183</v>
      </c>
      <c r="C36" s="137">
        <v>700000000</v>
      </c>
      <c r="D36" s="138">
        <f>E36-C36</f>
        <v>0</v>
      </c>
      <c r="E36" s="137">
        <v>700000000</v>
      </c>
      <c r="F36" s="137">
        <v>338563680.18000001</v>
      </c>
      <c r="G36" s="137">
        <f>SUM(E36-F36)</f>
        <v>361436319.81999999</v>
      </c>
    </row>
    <row r="37" spans="1:7" x14ac:dyDescent="0.2">
      <c r="A37" s="139"/>
      <c r="B37" s="136"/>
      <c r="C37" s="137"/>
      <c r="D37" s="138"/>
      <c r="E37" s="137"/>
      <c r="F37" s="137"/>
      <c r="G37" s="137"/>
    </row>
    <row r="38" spans="1:7" x14ac:dyDescent="0.2">
      <c r="A38" s="139"/>
      <c r="B38" s="136"/>
      <c r="C38" s="137"/>
      <c r="D38" s="149"/>
      <c r="E38" s="144"/>
      <c r="F38" s="144"/>
      <c r="G38" s="144"/>
    </row>
    <row r="39" spans="1:7" x14ac:dyDescent="0.2">
      <c r="A39" s="157" t="s">
        <v>3275</v>
      </c>
      <c r="B39" s="151" t="s">
        <v>1139</v>
      </c>
      <c r="C39" s="147">
        <f>C41+C45</f>
        <v>3838429744.3299999</v>
      </c>
      <c r="D39" s="148">
        <f>E39-C39</f>
        <v>0</v>
      </c>
      <c r="E39" s="147">
        <f>E41+E45</f>
        <v>3838429744.3299999</v>
      </c>
      <c r="F39" s="147">
        <f>F41+F45</f>
        <v>1630138860.54</v>
      </c>
      <c r="G39" s="147">
        <f>SUM(E39-F39)</f>
        <v>2208290883.79</v>
      </c>
    </row>
    <row r="40" spans="1:7" x14ac:dyDescent="0.2">
      <c r="A40" s="139"/>
      <c r="B40" s="151"/>
      <c r="C40" s="137"/>
      <c r="D40" s="149"/>
      <c r="E40" s="144"/>
      <c r="F40" s="144"/>
      <c r="G40" s="144"/>
    </row>
    <row r="41" spans="1:7" x14ac:dyDescent="0.2">
      <c r="A41" s="156" t="s">
        <v>3276</v>
      </c>
      <c r="B41" s="153" t="s">
        <v>1437</v>
      </c>
      <c r="C41" s="154">
        <f>SUM(C42)</f>
        <v>197036984.19999999</v>
      </c>
      <c r="D41" s="155">
        <f>E41-C41</f>
        <v>0</v>
      </c>
      <c r="E41" s="154">
        <f>SUM(E42)</f>
        <v>197036984.19999999</v>
      </c>
      <c r="F41" s="154">
        <f>SUM(F42)</f>
        <v>70822927.189999998</v>
      </c>
      <c r="G41" s="154">
        <f>E41-F41</f>
        <v>126214057.00999999</v>
      </c>
    </row>
    <row r="42" spans="1:7" x14ac:dyDescent="0.2">
      <c r="A42" s="156" t="s">
        <v>3277</v>
      </c>
      <c r="B42" s="153" t="s">
        <v>2552</v>
      </c>
      <c r="C42" s="154">
        <f>SUM(C43)</f>
        <v>197036984.19999999</v>
      </c>
      <c r="D42" s="155">
        <f>E42-C42</f>
        <v>0</v>
      </c>
      <c r="E42" s="154">
        <f>SUM(E43)</f>
        <v>197036984.19999999</v>
      </c>
      <c r="F42" s="154">
        <f>SUM(F43:F44)</f>
        <v>70822927.189999998</v>
      </c>
      <c r="G42" s="154">
        <f>E42-F42</f>
        <v>126214057.00999999</v>
      </c>
    </row>
    <row r="43" spans="1:7" x14ac:dyDescent="0.2">
      <c r="A43" s="267" t="s">
        <v>3278</v>
      </c>
      <c r="B43" s="136" t="s">
        <v>184</v>
      </c>
      <c r="C43" s="137">
        <v>197036984.19999999</v>
      </c>
      <c r="D43" s="138">
        <f>E43-C43</f>
        <v>0</v>
      </c>
      <c r="E43" s="137">
        <v>197036984.19999999</v>
      </c>
      <c r="F43" s="137">
        <v>70822927.189999998</v>
      </c>
      <c r="G43" s="137">
        <f>SUM(E43-F43)</f>
        <v>126214057.00999999</v>
      </c>
    </row>
    <row r="44" spans="1:7" x14ac:dyDescent="0.2">
      <c r="A44" s="139"/>
      <c r="B44" s="136"/>
      <c r="C44" s="137"/>
      <c r="D44" s="149"/>
      <c r="E44" s="144"/>
      <c r="F44" s="144"/>
      <c r="G44" s="144"/>
    </row>
    <row r="45" spans="1:7" x14ac:dyDescent="0.2">
      <c r="A45" s="156" t="s">
        <v>3279</v>
      </c>
      <c r="B45" s="153" t="s">
        <v>1439</v>
      </c>
      <c r="C45" s="154">
        <f>SUM(C47+C50+C53)</f>
        <v>3641392760.1300001</v>
      </c>
      <c r="D45" s="155">
        <f>E45-C45</f>
        <v>0</v>
      </c>
      <c r="E45" s="154">
        <f>E47+E50+E53</f>
        <v>3641392760.1300001</v>
      </c>
      <c r="F45" s="154">
        <f>F47+F50+F53</f>
        <v>1559315933.3499999</v>
      </c>
      <c r="G45" s="154">
        <f>E45-F45</f>
        <v>2082076826.7800002</v>
      </c>
    </row>
    <row r="46" spans="1:7" x14ac:dyDescent="0.2">
      <c r="A46" s="139"/>
      <c r="B46" s="136"/>
      <c r="C46" s="144"/>
      <c r="D46" s="149"/>
      <c r="E46" s="144"/>
      <c r="F46" s="144"/>
      <c r="G46" s="144"/>
    </row>
    <row r="47" spans="1:7" x14ac:dyDescent="0.2">
      <c r="A47" s="156" t="s">
        <v>3280</v>
      </c>
      <c r="B47" s="153" t="s">
        <v>2553</v>
      </c>
      <c r="C47" s="154">
        <f>SUM(C48)</f>
        <v>3000000</v>
      </c>
      <c r="D47" s="155">
        <f>E47-C47</f>
        <v>0</v>
      </c>
      <c r="E47" s="154">
        <f>SUM(E48)</f>
        <v>3000000</v>
      </c>
      <c r="F47" s="154">
        <f>SUM(F48)</f>
        <v>831481.75</v>
      </c>
      <c r="G47" s="154">
        <f>E47-F47</f>
        <v>2168518.25</v>
      </c>
    </row>
    <row r="48" spans="1:7" x14ac:dyDescent="0.2">
      <c r="A48" s="267" t="s">
        <v>3281</v>
      </c>
      <c r="B48" s="136" t="s">
        <v>185</v>
      </c>
      <c r="C48" s="137">
        <v>3000000</v>
      </c>
      <c r="D48" s="138">
        <f>E48-C48</f>
        <v>0</v>
      </c>
      <c r="E48" s="137">
        <v>3000000</v>
      </c>
      <c r="F48" s="137">
        <v>831481.75</v>
      </c>
      <c r="G48" s="137">
        <f>E48-F48</f>
        <v>2168518.25</v>
      </c>
    </row>
    <row r="49" spans="1:8" x14ac:dyDescent="0.2">
      <c r="A49" s="139"/>
      <c r="B49" s="136"/>
      <c r="C49" s="144"/>
      <c r="D49" s="149"/>
      <c r="E49" s="144"/>
      <c r="F49" s="144"/>
      <c r="G49" s="144"/>
    </row>
    <row r="50" spans="1:8" x14ac:dyDescent="0.2">
      <c r="A50" s="156" t="s">
        <v>3282</v>
      </c>
      <c r="B50" s="153" t="s">
        <v>2554</v>
      </c>
      <c r="C50" s="154">
        <f>SUM(C51)</f>
        <v>46000000</v>
      </c>
      <c r="D50" s="155">
        <f>E50-C50</f>
        <v>0</v>
      </c>
      <c r="E50" s="154">
        <f>SUM(E51)</f>
        <v>46000000</v>
      </c>
      <c r="F50" s="154">
        <f>SUM(F51)</f>
        <v>21067084.34</v>
      </c>
      <c r="G50" s="154">
        <f>E50-F50</f>
        <v>24932915.66</v>
      </c>
    </row>
    <row r="51" spans="1:8" x14ac:dyDescent="0.2">
      <c r="A51" s="267" t="s">
        <v>3283</v>
      </c>
      <c r="B51" s="136" t="s">
        <v>994</v>
      </c>
      <c r="C51" s="137">
        <v>46000000</v>
      </c>
      <c r="D51" s="138">
        <f>E51-C51</f>
        <v>0</v>
      </c>
      <c r="E51" s="137">
        <v>46000000</v>
      </c>
      <c r="F51" s="137">
        <v>21067084.34</v>
      </c>
      <c r="G51" s="137">
        <f>E51-F51</f>
        <v>24932915.66</v>
      </c>
    </row>
    <row r="52" spans="1:8" x14ac:dyDescent="0.2">
      <c r="A52" s="139"/>
      <c r="B52" s="136"/>
      <c r="C52" s="137"/>
      <c r="D52" s="270"/>
      <c r="E52" s="137"/>
      <c r="F52" s="137"/>
      <c r="G52" s="137"/>
    </row>
    <row r="53" spans="1:8" x14ac:dyDescent="0.2">
      <c r="A53" s="265" t="s">
        <v>3284</v>
      </c>
      <c r="B53" s="266" t="s">
        <v>995</v>
      </c>
      <c r="C53" s="161">
        <f>SUM(C54:C63)</f>
        <v>3592392760.1300001</v>
      </c>
      <c r="D53" s="161">
        <f t="shared" ref="D53:D63" si="0">E53-C53</f>
        <v>0</v>
      </c>
      <c r="E53" s="161">
        <f>SUM(E54:E63)</f>
        <v>3592392760.1300001</v>
      </c>
      <c r="F53" s="161">
        <f>SUM(F54:F63)</f>
        <v>1537417367.26</v>
      </c>
      <c r="G53" s="161">
        <f t="shared" ref="G53:G63" si="1">E53-F53</f>
        <v>2054975392.8700001</v>
      </c>
      <c r="H53" s="207"/>
    </row>
    <row r="54" spans="1:8" x14ac:dyDescent="0.2">
      <c r="A54" s="267" t="s">
        <v>3285</v>
      </c>
      <c r="B54" s="268" t="s">
        <v>1440</v>
      </c>
      <c r="C54" s="269">
        <v>600192760.13</v>
      </c>
      <c r="D54" s="270">
        <f t="shared" si="0"/>
        <v>0</v>
      </c>
      <c r="E54" s="269">
        <v>600192760.13</v>
      </c>
      <c r="F54" s="269">
        <v>288001994.25</v>
      </c>
      <c r="G54" s="269">
        <f t="shared" si="1"/>
        <v>312190765.88</v>
      </c>
      <c r="H54" s="207"/>
    </row>
    <row r="55" spans="1:8" x14ac:dyDescent="0.2">
      <c r="A55" s="267" t="s">
        <v>3286</v>
      </c>
      <c r="B55" s="268" t="s">
        <v>996</v>
      </c>
      <c r="C55" s="269">
        <v>6500000</v>
      </c>
      <c r="D55" s="270">
        <f t="shared" si="0"/>
        <v>0</v>
      </c>
      <c r="E55" s="269">
        <v>6500000</v>
      </c>
      <c r="F55" s="269">
        <v>3104340</v>
      </c>
      <c r="G55" s="269">
        <f t="shared" si="1"/>
        <v>3395660</v>
      </c>
      <c r="H55" s="207"/>
    </row>
    <row r="56" spans="1:8" x14ac:dyDescent="0.2">
      <c r="A56" s="267" t="s">
        <v>3287</v>
      </c>
      <c r="B56" s="268" t="s">
        <v>997</v>
      </c>
      <c r="C56" s="269">
        <v>256700000</v>
      </c>
      <c r="D56" s="270">
        <f t="shared" si="0"/>
        <v>0</v>
      </c>
      <c r="E56" s="269">
        <v>256700000</v>
      </c>
      <c r="F56" s="269">
        <v>133198323.51000001</v>
      </c>
      <c r="G56" s="269">
        <f t="shared" si="1"/>
        <v>123501676.48999999</v>
      </c>
      <c r="H56" s="207"/>
    </row>
    <row r="57" spans="1:8" x14ac:dyDescent="0.2">
      <c r="A57" s="267" t="s">
        <v>3288</v>
      </c>
      <c r="B57" s="268" t="s">
        <v>998</v>
      </c>
      <c r="C57" s="269">
        <v>1900000000</v>
      </c>
      <c r="D57" s="270">
        <f t="shared" si="0"/>
        <v>0</v>
      </c>
      <c r="E57" s="269">
        <v>1900000000</v>
      </c>
      <c r="F57" s="269">
        <v>892048384.49000001</v>
      </c>
      <c r="G57" s="269">
        <f t="shared" si="1"/>
        <v>1007951615.51</v>
      </c>
      <c r="H57" s="207"/>
    </row>
    <row r="58" spans="1:8" x14ac:dyDescent="0.2">
      <c r="A58" s="267" t="s">
        <v>3289</v>
      </c>
      <c r="B58" s="268" t="s">
        <v>2555</v>
      </c>
      <c r="C58" s="269">
        <v>0</v>
      </c>
      <c r="D58" s="270">
        <f t="shared" si="0"/>
        <v>0</v>
      </c>
      <c r="E58" s="269">
        <v>0</v>
      </c>
      <c r="F58" s="269">
        <v>22743526.489999998</v>
      </c>
      <c r="G58" s="269">
        <f t="shared" si="1"/>
        <v>-22743526.489999998</v>
      </c>
      <c r="H58" s="207"/>
    </row>
    <row r="59" spans="1:8" x14ac:dyDescent="0.2">
      <c r="A59" s="267" t="s">
        <v>3290</v>
      </c>
      <c r="B59" s="268" t="s">
        <v>126</v>
      </c>
      <c r="C59" s="269">
        <v>750000000</v>
      </c>
      <c r="D59" s="270">
        <f t="shared" si="0"/>
        <v>0</v>
      </c>
      <c r="E59" s="269">
        <v>750000000</v>
      </c>
      <c r="F59" s="269">
        <v>175820093.15000001</v>
      </c>
      <c r="G59" s="269">
        <f t="shared" si="1"/>
        <v>574179906.85000002</v>
      </c>
      <c r="H59" s="207"/>
    </row>
    <row r="60" spans="1:8" x14ac:dyDescent="0.2">
      <c r="A60" s="267" t="s">
        <v>2556</v>
      </c>
      <c r="B60" s="268" t="s">
        <v>3291</v>
      </c>
      <c r="C60" s="269">
        <v>0</v>
      </c>
      <c r="D60" s="270">
        <f t="shared" si="0"/>
        <v>0</v>
      </c>
      <c r="E60" s="269">
        <v>0</v>
      </c>
      <c r="F60" s="269">
        <v>0</v>
      </c>
      <c r="G60" s="269">
        <f t="shared" si="1"/>
        <v>0</v>
      </c>
      <c r="H60" s="207"/>
    </row>
    <row r="61" spans="1:8" x14ac:dyDescent="0.2">
      <c r="A61" s="267" t="s">
        <v>3292</v>
      </c>
      <c r="B61" s="268" t="s">
        <v>3293</v>
      </c>
      <c r="C61" s="269">
        <v>21000000</v>
      </c>
      <c r="D61" s="270">
        <f t="shared" si="0"/>
        <v>0</v>
      </c>
      <c r="E61" s="269">
        <v>21000000</v>
      </c>
      <c r="F61" s="269">
        <v>11634678</v>
      </c>
      <c r="G61" s="269">
        <f t="shared" si="1"/>
        <v>9365322</v>
      </c>
      <c r="H61" s="207"/>
    </row>
    <row r="62" spans="1:8" x14ac:dyDescent="0.2">
      <c r="A62" s="267" t="s">
        <v>3294</v>
      </c>
      <c r="B62" s="268" t="s">
        <v>3295</v>
      </c>
      <c r="C62" s="269">
        <v>51000000</v>
      </c>
      <c r="D62" s="270">
        <f t="shared" si="0"/>
        <v>0</v>
      </c>
      <c r="E62" s="269">
        <v>51000000</v>
      </c>
      <c r="F62" s="269">
        <v>6062038.5599999996</v>
      </c>
      <c r="G62" s="269">
        <f t="shared" si="1"/>
        <v>44937961.439999998</v>
      </c>
      <c r="H62" s="207"/>
    </row>
    <row r="63" spans="1:8" x14ac:dyDescent="0.2">
      <c r="A63" s="267" t="s">
        <v>3296</v>
      </c>
      <c r="B63" s="268" t="s">
        <v>3297</v>
      </c>
      <c r="C63" s="269">
        <v>7000000</v>
      </c>
      <c r="D63" s="270">
        <f t="shared" si="0"/>
        <v>0</v>
      </c>
      <c r="E63" s="269">
        <v>7000000</v>
      </c>
      <c r="F63" s="269">
        <v>4803988.8099999996</v>
      </c>
      <c r="G63" s="269">
        <f t="shared" si="1"/>
        <v>2196011.1900000004</v>
      </c>
      <c r="H63" s="207"/>
    </row>
    <row r="64" spans="1:8" x14ac:dyDescent="0.2">
      <c r="A64" s="267"/>
      <c r="B64" s="268"/>
      <c r="C64" s="269"/>
      <c r="D64" s="270"/>
      <c r="E64" s="269"/>
      <c r="F64" s="269"/>
      <c r="G64" s="269"/>
      <c r="H64" s="207"/>
    </row>
    <row r="65" spans="1:7" x14ac:dyDescent="0.2">
      <c r="A65" s="157" t="s">
        <v>3298</v>
      </c>
      <c r="B65" s="151" t="s">
        <v>266</v>
      </c>
      <c r="C65" s="147">
        <f>SUM(C67)</f>
        <v>7849896925</v>
      </c>
      <c r="D65" s="804">
        <f>E65-C65</f>
        <v>0</v>
      </c>
      <c r="E65" s="147">
        <f>SUM(E67)</f>
        <v>7849896925</v>
      </c>
      <c r="F65" s="147">
        <f>SUM(F67)</f>
        <v>3956685454.0799994</v>
      </c>
      <c r="G65" s="147">
        <f>E65-F65</f>
        <v>3893211470.9200006</v>
      </c>
    </row>
    <row r="66" spans="1:7" x14ac:dyDescent="0.2">
      <c r="A66" s="267"/>
      <c r="B66" s="151"/>
      <c r="C66" s="137"/>
      <c r="D66" s="270"/>
      <c r="E66" s="137"/>
      <c r="F66" s="137"/>
      <c r="G66" s="137"/>
    </row>
    <row r="67" spans="1:7" x14ac:dyDescent="0.2">
      <c r="A67" s="156" t="s">
        <v>3299</v>
      </c>
      <c r="B67" s="153" t="s">
        <v>999</v>
      </c>
      <c r="C67" s="154">
        <f>SUM(C68)</f>
        <v>7849896925</v>
      </c>
      <c r="D67" s="805">
        <f t="shared" ref="D67:D82" si="2">E67-C67</f>
        <v>0</v>
      </c>
      <c r="E67" s="154">
        <f>SUM(E68)</f>
        <v>7849896925</v>
      </c>
      <c r="F67" s="154">
        <f>SUM(F68)</f>
        <v>3956685454.0799994</v>
      </c>
      <c r="G67" s="154">
        <f t="shared" ref="G67:G82" si="3">E67-F67</f>
        <v>3893211470.9200006</v>
      </c>
    </row>
    <row r="68" spans="1:7" x14ac:dyDescent="0.2">
      <c r="A68" s="156" t="s">
        <v>3300</v>
      </c>
      <c r="B68" s="153" t="s">
        <v>1000</v>
      </c>
      <c r="C68" s="154">
        <f>SUM(C69:C82)</f>
        <v>7849896925</v>
      </c>
      <c r="D68" s="805">
        <f t="shared" si="2"/>
        <v>0</v>
      </c>
      <c r="E68" s="154">
        <f>SUM(E69:E82)</f>
        <v>7849896925</v>
      </c>
      <c r="F68" s="154">
        <f>SUM(F69:F82)</f>
        <v>3956685454.0799994</v>
      </c>
      <c r="G68" s="154">
        <f t="shared" si="3"/>
        <v>3893211470.9200006</v>
      </c>
    </row>
    <row r="69" spans="1:7" x14ac:dyDescent="0.2">
      <c r="A69" s="267" t="s">
        <v>3301</v>
      </c>
      <c r="B69" s="136" t="s">
        <v>1001</v>
      </c>
      <c r="C69" s="137">
        <v>10000000</v>
      </c>
      <c r="D69" s="270">
        <f t="shared" si="2"/>
        <v>0</v>
      </c>
      <c r="E69" s="137">
        <v>10000000</v>
      </c>
      <c r="F69" s="137">
        <v>70000</v>
      </c>
      <c r="G69" s="137">
        <f t="shared" si="3"/>
        <v>9930000</v>
      </c>
    </row>
    <row r="70" spans="1:7" x14ac:dyDescent="0.2">
      <c r="A70" s="267" t="s">
        <v>3302</v>
      </c>
      <c r="B70" s="136" t="s">
        <v>1374</v>
      </c>
      <c r="C70" s="137">
        <v>22000000</v>
      </c>
      <c r="D70" s="270">
        <f t="shared" si="2"/>
        <v>0</v>
      </c>
      <c r="E70" s="137">
        <v>22000000</v>
      </c>
      <c r="F70" s="137">
        <v>10696895</v>
      </c>
      <c r="G70" s="137">
        <f t="shared" si="3"/>
        <v>11303105</v>
      </c>
    </row>
    <row r="71" spans="1:7" x14ac:dyDescent="0.2">
      <c r="A71" s="267" t="s">
        <v>3303</v>
      </c>
      <c r="B71" s="136" t="s">
        <v>1002</v>
      </c>
      <c r="C71" s="137">
        <v>345750000</v>
      </c>
      <c r="D71" s="270">
        <f t="shared" si="2"/>
        <v>0</v>
      </c>
      <c r="E71" s="137">
        <v>345750000</v>
      </c>
      <c r="F71" s="137">
        <v>279911485</v>
      </c>
      <c r="G71" s="137">
        <f t="shared" si="3"/>
        <v>65838515</v>
      </c>
    </row>
    <row r="72" spans="1:7" x14ac:dyDescent="0.2">
      <c r="A72" s="267" t="s">
        <v>3304</v>
      </c>
      <c r="B72" s="136" t="s">
        <v>1003</v>
      </c>
      <c r="C72" s="137">
        <v>92000000</v>
      </c>
      <c r="D72" s="270">
        <f t="shared" si="2"/>
        <v>0</v>
      </c>
      <c r="E72" s="137">
        <v>92000000</v>
      </c>
      <c r="F72" s="137">
        <v>48634820</v>
      </c>
      <c r="G72" s="137">
        <f t="shared" si="3"/>
        <v>43365180</v>
      </c>
    </row>
    <row r="73" spans="1:7" x14ac:dyDescent="0.2">
      <c r="A73" s="267" t="s">
        <v>3305</v>
      </c>
      <c r="B73" s="136" t="s">
        <v>1375</v>
      </c>
      <c r="C73" s="137">
        <v>4003100000</v>
      </c>
      <c r="D73" s="270">
        <f t="shared" si="2"/>
        <v>0</v>
      </c>
      <c r="E73" s="137">
        <v>4003100000</v>
      </c>
      <c r="F73" s="137">
        <v>1857798027</v>
      </c>
      <c r="G73" s="137">
        <f t="shared" si="3"/>
        <v>2145301973</v>
      </c>
    </row>
    <row r="74" spans="1:7" x14ac:dyDescent="0.2">
      <c r="A74" s="267" t="s">
        <v>3306</v>
      </c>
      <c r="B74" s="136" t="s">
        <v>1004</v>
      </c>
      <c r="C74" s="137">
        <v>30000000</v>
      </c>
      <c r="D74" s="270">
        <f t="shared" si="2"/>
        <v>0</v>
      </c>
      <c r="E74" s="137">
        <v>30000000</v>
      </c>
      <c r="F74" s="137">
        <v>10870000</v>
      </c>
      <c r="G74" s="137">
        <f t="shared" si="3"/>
        <v>19130000</v>
      </c>
    </row>
    <row r="75" spans="1:7" x14ac:dyDescent="0.2">
      <c r="A75" s="267" t="s">
        <v>3307</v>
      </c>
      <c r="B75" s="268" t="s">
        <v>127</v>
      </c>
      <c r="C75" s="269">
        <v>450000000</v>
      </c>
      <c r="D75" s="270">
        <f t="shared" si="2"/>
        <v>2083160986.2600002</v>
      </c>
      <c r="E75" s="269">
        <v>2533160986.2600002</v>
      </c>
      <c r="F75" s="269">
        <v>1454215656.5</v>
      </c>
      <c r="G75" s="269">
        <f t="shared" si="3"/>
        <v>1078945329.7600002</v>
      </c>
    </row>
    <row r="76" spans="1:7" x14ac:dyDescent="0.2">
      <c r="A76" s="267" t="s">
        <v>3308</v>
      </c>
      <c r="B76" s="136" t="s">
        <v>1005</v>
      </c>
      <c r="C76" s="137">
        <v>55000000</v>
      </c>
      <c r="D76" s="270">
        <f t="shared" si="2"/>
        <v>0</v>
      </c>
      <c r="E76" s="137">
        <v>55000000</v>
      </c>
      <c r="F76" s="137">
        <v>24646975</v>
      </c>
      <c r="G76" s="137">
        <f t="shared" si="3"/>
        <v>30353025</v>
      </c>
    </row>
    <row r="77" spans="1:7" x14ac:dyDescent="0.2">
      <c r="A77" s="267" t="s">
        <v>3309</v>
      </c>
      <c r="B77" s="136" t="s">
        <v>1006</v>
      </c>
      <c r="C77" s="137">
        <v>200000000</v>
      </c>
      <c r="D77" s="270">
        <f t="shared" si="2"/>
        <v>0</v>
      </c>
      <c r="E77" s="137">
        <v>200000000</v>
      </c>
      <c r="F77" s="137">
        <v>79105133.930000007</v>
      </c>
      <c r="G77" s="137">
        <f t="shared" si="3"/>
        <v>120894866.06999999</v>
      </c>
    </row>
    <row r="78" spans="1:7" x14ac:dyDescent="0.2">
      <c r="A78" s="267" t="s">
        <v>3310</v>
      </c>
      <c r="B78" s="136" t="s">
        <v>1007</v>
      </c>
      <c r="C78" s="137">
        <v>70000000</v>
      </c>
      <c r="D78" s="270">
        <f t="shared" si="2"/>
        <v>0</v>
      </c>
      <c r="E78" s="137">
        <v>70000000</v>
      </c>
      <c r="F78" s="137">
        <v>35762906</v>
      </c>
      <c r="G78" s="137">
        <f t="shared" si="3"/>
        <v>34237094</v>
      </c>
    </row>
    <row r="79" spans="1:7" x14ac:dyDescent="0.2">
      <c r="A79" s="267" t="s">
        <v>3311</v>
      </c>
      <c r="B79" s="268" t="s">
        <v>128</v>
      </c>
      <c r="C79" s="269">
        <v>2250000000</v>
      </c>
      <c r="D79" s="270">
        <f t="shared" si="2"/>
        <v>-2083160986.26</v>
      </c>
      <c r="E79" s="269">
        <v>166839013.74000001</v>
      </c>
      <c r="F79" s="269">
        <v>0</v>
      </c>
      <c r="G79" s="269">
        <f t="shared" si="3"/>
        <v>166839013.74000001</v>
      </c>
    </row>
    <row r="80" spans="1:7" x14ac:dyDescent="0.2">
      <c r="A80" s="267" t="s">
        <v>3312</v>
      </c>
      <c r="B80" s="136" t="s">
        <v>129</v>
      </c>
      <c r="C80" s="137">
        <v>266921925</v>
      </c>
      <c r="D80" s="270">
        <f t="shared" si="2"/>
        <v>0</v>
      </c>
      <c r="E80" s="137">
        <v>266921925</v>
      </c>
      <c r="F80" s="137">
        <v>129111959.48999999</v>
      </c>
      <c r="G80" s="137">
        <f t="shared" si="3"/>
        <v>137809965.50999999</v>
      </c>
    </row>
    <row r="81" spans="1:7" x14ac:dyDescent="0.2">
      <c r="A81" s="267" t="s">
        <v>3313</v>
      </c>
      <c r="B81" s="136" t="s">
        <v>130</v>
      </c>
      <c r="C81" s="137">
        <v>55000000</v>
      </c>
      <c r="D81" s="270">
        <f t="shared" si="2"/>
        <v>0</v>
      </c>
      <c r="E81" s="137">
        <v>55000000</v>
      </c>
      <c r="F81" s="137">
        <v>25809096.16</v>
      </c>
      <c r="G81" s="137">
        <f t="shared" si="3"/>
        <v>29190903.84</v>
      </c>
    </row>
    <row r="82" spans="1:7" x14ac:dyDescent="0.2">
      <c r="A82" s="267" t="s">
        <v>3314</v>
      </c>
      <c r="B82" s="136" t="s">
        <v>3315</v>
      </c>
      <c r="C82" s="137">
        <v>125000</v>
      </c>
      <c r="D82" s="270">
        <f t="shared" si="2"/>
        <v>0</v>
      </c>
      <c r="E82" s="137">
        <v>125000</v>
      </c>
      <c r="F82" s="137">
        <v>52500</v>
      </c>
      <c r="G82" s="137">
        <f t="shared" si="3"/>
        <v>72500</v>
      </c>
    </row>
    <row r="83" spans="1:7" x14ac:dyDescent="0.2">
      <c r="A83" s="139"/>
      <c r="B83" s="136"/>
      <c r="C83" s="137"/>
      <c r="D83" s="270"/>
      <c r="E83" s="137"/>
      <c r="F83" s="137"/>
      <c r="G83" s="137"/>
    </row>
    <row r="84" spans="1:7" x14ac:dyDescent="0.2">
      <c r="A84" s="157" t="s">
        <v>3316</v>
      </c>
      <c r="B84" s="151" t="s">
        <v>88</v>
      </c>
      <c r="C84" s="147">
        <f>SUM(C86)</f>
        <v>3392000000</v>
      </c>
      <c r="D84" s="804">
        <f>E84-C84</f>
        <v>0</v>
      </c>
      <c r="E84" s="147">
        <f>SUM(E86)</f>
        <v>3392000000</v>
      </c>
      <c r="F84" s="147">
        <f>SUM(F86)</f>
        <v>3041828810.7600002</v>
      </c>
      <c r="G84" s="147">
        <f>E84-F84</f>
        <v>350171189.23999977</v>
      </c>
    </row>
    <row r="85" spans="1:7" x14ac:dyDescent="0.2">
      <c r="A85" s="157"/>
      <c r="B85" s="151"/>
      <c r="C85" s="144"/>
      <c r="D85" s="806"/>
      <c r="E85" s="144"/>
      <c r="F85" s="144"/>
      <c r="G85" s="144"/>
    </row>
    <row r="86" spans="1:7" x14ac:dyDescent="0.2">
      <c r="A86" s="156" t="s">
        <v>3317</v>
      </c>
      <c r="B86" s="153" t="s">
        <v>1230</v>
      </c>
      <c r="C86" s="154">
        <f>SUM(C87+C90+C93)</f>
        <v>3392000000</v>
      </c>
      <c r="D86" s="805">
        <f>E86-C86</f>
        <v>0</v>
      </c>
      <c r="E86" s="154">
        <f>SUM(E87+E90+E93)</f>
        <v>3392000000</v>
      </c>
      <c r="F86" s="154">
        <f>SUM(F87+F90+F93)</f>
        <v>3041828810.7600002</v>
      </c>
      <c r="G86" s="154">
        <f>E86-F86</f>
        <v>350171189.23999977</v>
      </c>
    </row>
    <row r="87" spans="1:7" x14ac:dyDescent="0.2">
      <c r="A87" s="156" t="s">
        <v>3318</v>
      </c>
      <c r="B87" s="153" t="s">
        <v>1231</v>
      </c>
      <c r="C87" s="154">
        <f>SUM(C88:C88)</f>
        <v>2985000000</v>
      </c>
      <c r="D87" s="805">
        <f>E87-C87</f>
        <v>0</v>
      </c>
      <c r="E87" s="154">
        <f>SUM(E88:E88)</f>
        <v>2985000000</v>
      </c>
      <c r="F87" s="154">
        <f>SUM(F88:F88)</f>
        <v>2642522245.23</v>
      </c>
      <c r="G87" s="154">
        <f>E87-F87</f>
        <v>342477754.76999998</v>
      </c>
    </row>
    <row r="88" spans="1:7" x14ac:dyDescent="0.2">
      <c r="A88" s="267" t="s">
        <v>3319</v>
      </c>
      <c r="B88" s="136" t="s">
        <v>1232</v>
      </c>
      <c r="C88" s="137">
        <v>2985000000</v>
      </c>
      <c r="D88" s="270">
        <f>E88-C88</f>
        <v>0</v>
      </c>
      <c r="E88" s="137">
        <v>2985000000</v>
      </c>
      <c r="F88" s="137">
        <v>2642522245.23</v>
      </c>
      <c r="G88" s="137">
        <f>E88-F88</f>
        <v>342477754.76999998</v>
      </c>
    </row>
    <row r="89" spans="1:7" x14ac:dyDescent="0.2">
      <c r="A89" s="139"/>
      <c r="B89" s="136"/>
      <c r="C89" s="137"/>
      <c r="D89" s="270"/>
      <c r="E89" s="137"/>
      <c r="F89" s="137"/>
      <c r="G89" s="137"/>
    </row>
    <row r="90" spans="1:7" x14ac:dyDescent="0.2">
      <c r="A90" s="156" t="s">
        <v>3320</v>
      </c>
      <c r="B90" s="153" t="s">
        <v>1233</v>
      </c>
      <c r="C90" s="154">
        <f>SUM(C91:C92)</f>
        <v>10000000</v>
      </c>
      <c r="D90" s="805">
        <f>E90-C90</f>
        <v>0</v>
      </c>
      <c r="E90" s="154">
        <f>SUM(E91:E92)</f>
        <v>10000000</v>
      </c>
      <c r="F90" s="154">
        <f>SUM(F91:F92)</f>
        <v>4536215.42</v>
      </c>
      <c r="G90" s="154">
        <f>E90-F90</f>
        <v>5463784.5800000001</v>
      </c>
    </row>
    <row r="91" spans="1:7" x14ac:dyDescent="0.2">
      <c r="A91" s="267" t="s">
        <v>3321</v>
      </c>
      <c r="B91" s="136" t="s">
        <v>1234</v>
      </c>
      <c r="C91" s="137">
        <v>10000000</v>
      </c>
      <c r="D91" s="270">
        <f>E91-C91</f>
        <v>0</v>
      </c>
      <c r="E91" s="137">
        <v>10000000</v>
      </c>
      <c r="F91" s="137">
        <v>4536215.42</v>
      </c>
      <c r="G91" s="137">
        <f>E91-F91</f>
        <v>5463784.5800000001</v>
      </c>
    </row>
    <row r="92" spans="1:7" x14ac:dyDescent="0.2">
      <c r="A92" s="139"/>
      <c r="B92" s="136"/>
      <c r="C92" s="137"/>
      <c r="D92" s="270"/>
      <c r="E92" s="137"/>
      <c r="F92" s="137"/>
      <c r="G92" s="137"/>
    </row>
    <row r="93" spans="1:7" x14ac:dyDescent="0.2">
      <c r="A93" s="156" t="s">
        <v>3322</v>
      </c>
      <c r="B93" s="153" t="s">
        <v>1235</v>
      </c>
      <c r="C93" s="154">
        <f>SUM(C94:C95)</f>
        <v>397000000</v>
      </c>
      <c r="D93" s="805">
        <f>E93-C93</f>
        <v>0</v>
      </c>
      <c r="E93" s="154">
        <f>SUM(E94:E95)</f>
        <v>397000000</v>
      </c>
      <c r="F93" s="154">
        <f>SUM(F94:F95)</f>
        <v>394770350.11000001</v>
      </c>
      <c r="G93" s="154">
        <f>E93-F93</f>
        <v>2229649.8899999857</v>
      </c>
    </row>
    <row r="94" spans="1:7" x14ac:dyDescent="0.2">
      <c r="A94" s="267" t="s">
        <v>3323</v>
      </c>
      <c r="B94" s="136" t="s">
        <v>1376</v>
      </c>
      <c r="C94" s="137">
        <v>162000000</v>
      </c>
      <c r="D94" s="270">
        <f>E94-C94</f>
        <v>0</v>
      </c>
      <c r="E94" s="137">
        <v>162000000</v>
      </c>
      <c r="F94" s="137">
        <v>278799486.75</v>
      </c>
      <c r="G94" s="137">
        <f>E94-F94</f>
        <v>-116799486.75</v>
      </c>
    </row>
    <row r="95" spans="1:7" x14ac:dyDescent="0.2">
      <c r="A95" s="267" t="s">
        <v>3324</v>
      </c>
      <c r="B95" s="136" t="s">
        <v>131</v>
      </c>
      <c r="C95" s="137">
        <v>235000000</v>
      </c>
      <c r="D95" s="270">
        <f>E95-C95</f>
        <v>0</v>
      </c>
      <c r="E95" s="137">
        <v>235000000</v>
      </c>
      <c r="F95" s="137">
        <v>115970863.36</v>
      </c>
      <c r="G95" s="137">
        <f>E95-F95</f>
        <v>119029136.64</v>
      </c>
    </row>
    <row r="96" spans="1:7" x14ac:dyDescent="0.2">
      <c r="A96" s="139"/>
      <c r="B96" s="136"/>
      <c r="C96" s="137"/>
      <c r="D96" s="270"/>
      <c r="E96" s="137"/>
      <c r="F96" s="137"/>
      <c r="G96" s="137"/>
    </row>
    <row r="97" spans="1:7" x14ac:dyDescent="0.2">
      <c r="A97" s="157" t="s">
        <v>3325</v>
      </c>
      <c r="B97" s="151" t="s">
        <v>1377</v>
      </c>
      <c r="C97" s="147">
        <f>SUM(C99)</f>
        <v>426000000</v>
      </c>
      <c r="D97" s="804">
        <f>E97-C97</f>
        <v>0</v>
      </c>
      <c r="E97" s="147">
        <f>SUM(E99)</f>
        <v>426000000</v>
      </c>
      <c r="F97" s="147">
        <f>SUM(F99)</f>
        <v>138173872</v>
      </c>
      <c r="G97" s="147">
        <f>E97-F97</f>
        <v>287826128</v>
      </c>
    </row>
    <row r="98" spans="1:7" x14ac:dyDescent="0.2">
      <c r="A98" s="157"/>
      <c r="B98" s="151"/>
      <c r="C98" s="144"/>
      <c r="D98" s="806"/>
      <c r="E98" s="144"/>
      <c r="F98" s="144"/>
      <c r="G98" s="144"/>
    </row>
    <row r="99" spans="1:7" x14ac:dyDescent="0.2">
      <c r="A99" s="156" t="s">
        <v>3326</v>
      </c>
      <c r="B99" s="153" t="s">
        <v>1236</v>
      </c>
      <c r="C99" s="154">
        <f>SUM(C100)</f>
        <v>426000000</v>
      </c>
      <c r="D99" s="805">
        <f>E99-C99</f>
        <v>0</v>
      </c>
      <c r="E99" s="154">
        <f>SUM(E100)</f>
        <v>426000000</v>
      </c>
      <c r="F99" s="154">
        <f>SUM(F100)</f>
        <v>138173872</v>
      </c>
      <c r="G99" s="154">
        <f>E99-F99</f>
        <v>287826128</v>
      </c>
    </row>
    <row r="100" spans="1:7" x14ac:dyDescent="0.2">
      <c r="A100" s="156" t="s">
        <v>3327</v>
      </c>
      <c r="B100" s="153" t="s">
        <v>2557</v>
      </c>
      <c r="C100" s="154">
        <f>SUM(C101:C103)</f>
        <v>426000000</v>
      </c>
      <c r="D100" s="805">
        <f>E100-C100</f>
        <v>0</v>
      </c>
      <c r="E100" s="154">
        <f>SUM(E101:E103)</f>
        <v>426000000</v>
      </c>
      <c r="F100" s="154">
        <f>SUM(F101:F103)</f>
        <v>138173872</v>
      </c>
      <c r="G100" s="154">
        <f>E100-F100</f>
        <v>287826128</v>
      </c>
    </row>
    <row r="101" spans="1:7" x14ac:dyDescent="0.2">
      <c r="A101" s="267" t="s">
        <v>3328</v>
      </c>
      <c r="B101" s="136" t="s">
        <v>1237</v>
      </c>
      <c r="C101" s="137">
        <v>26000000</v>
      </c>
      <c r="D101" s="270">
        <f>E101-C101</f>
        <v>0</v>
      </c>
      <c r="E101" s="137">
        <v>26000000</v>
      </c>
      <c r="F101" s="137">
        <v>10626890</v>
      </c>
      <c r="G101" s="137">
        <f>E101-F101</f>
        <v>15373110</v>
      </c>
    </row>
    <row r="102" spans="1:7" x14ac:dyDescent="0.2">
      <c r="A102" s="267" t="s">
        <v>3329</v>
      </c>
      <c r="B102" s="136" t="s">
        <v>1238</v>
      </c>
      <c r="C102" s="137">
        <v>400000000</v>
      </c>
      <c r="D102" s="270">
        <f>E102-C102</f>
        <v>0</v>
      </c>
      <c r="E102" s="137">
        <v>400000000</v>
      </c>
      <c r="F102" s="137">
        <v>127546982</v>
      </c>
      <c r="G102" s="137">
        <f>E102-F102</f>
        <v>272453018</v>
      </c>
    </row>
    <row r="103" spans="1:7" x14ac:dyDescent="0.2">
      <c r="A103" s="267" t="s">
        <v>3330</v>
      </c>
      <c r="B103" s="136" t="s">
        <v>1725</v>
      </c>
      <c r="C103" s="137">
        <v>0</v>
      </c>
      <c r="D103" s="270">
        <f>E103-C103</f>
        <v>0</v>
      </c>
      <c r="E103" s="137">
        <v>0</v>
      </c>
      <c r="F103" s="137">
        <v>0</v>
      </c>
      <c r="G103" s="137">
        <f>E103-F103</f>
        <v>0</v>
      </c>
    </row>
    <row r="104" spans="1:7" x14ac:dyDescent="0.2">
      <c r="A104" s="139"/>
      <c r="B104" s="136"/>
      <c r="C104" s="137"/>
      <c r="D104" s="270"/>
      <c r="E104" s="137"/>
      <c r="F104" s="137"/>
      <c r="G104" s="137"/>
    </row>
    <row r="105" spans="1:7" x14ac:dyDescent="0.2">
      <c r="A105" s="157" t="s">
        <v>3331</v>
      </c>
      <c r="B105" s="151" t="s">
        <v>1173</v>
      </c>
      <c r="C105" s="147">
        <f>SUM(C107+C114)</f>
        <v>393000000</v>
      </c>
      <c r="D105" s="804">
        <f>E105-C105</f>
        <v>0</v>
      </c>
      <c r="E105" s="147">
        <f>SUM(E107+E114)</f>
        <v>393000000</v>
      </c>
      <c r="F105" s="147">
        <f>SUM(F107+F114)</f>
        <v>359151329.71000004</v>
      </c>
      <c r="G105" s="147">
        <f>E105-F105</f>
        <v>33848670.289999962</v>
      </c>
    </row>
    <row r="106" spans="1:7" x14ac:dyDescent="0.2">
      <c r="A106" s="157"/>
      <c r="B106" s="151"/>
      <c r="C106" s="144"/>
      <c r="D106" s="806"/>
      <c r="E106" s="144"/>
      <c r="F106" s="144"/>
      <c r="G106" s="144"/>
    </row>
    <row r="107" spans="1:7" x14ac:dyDescent="0.2">
      <c r="A107" s="156" t="s">
        <v>3332</v>
      </c>
      <c r="B107" s="153" t="s">
        <v>1239</v>
      </c>
      <c r="C107" s="155">
        <f>SUM(C108:C112)</f>
        <v>393000000</v>
      </c>
      <c r="D107" s="805">
        <f>SUM(D108:D112)</f>
        <v>0</v>
      </c>
      <c r="E107" s="155">
        <f>SUM(E108:E112)</f>
        <v>393000000</v>
      </c>
      <c r="F107" s="155">
        <f>SUM(F108:F112)</f>
        <v>359151329.71000004</v>
      </c>
      <c r="G107" s="155">
        <f>SUM(G108:G112)</f>
        <v>33848670.289999977</v>
      </c>
    </row>
    <row r="108" spans="1:7" x14ac:dyDescent="0.2">
      <c r="A108" s="267" t="s">
        <v>3333</v>
      </c>
      <c r="B108" s="136" t="s">
        <v>2558</v>
      </c>
      <c r="C108" s="137">
        <v>230000000</v>
      </c>
      <c r="D108" s="270">
        <f>E108-C108</f>
        <v>0</v>
      </c>
      <c r="E108" s="137">
        <v>230000000</v>
      </c>
      <c r="F108" s="137">
        <v>313722315.91000003</v>
      </c>
      <c r="G108" s="137">
        <f>E108-F108</f>
        <v>-83722315.910000026</v>
      </c>
    </row>
    <row r="109" spans="1:7" x14ac:dyDescent="0.2">
      <c r="A109" s="267" t="s">
        <v>3334</v>
      </c>
      <c r="B109" s="136" t="s">
        <v>1378</v>
      </c>
      <c r="C109" s="137">
        <v>85000000</v>
      </c>
      <c r="D109" s="270">
        <f>E109-C109</f>
        <v>0</v>
      </c>
      <c r="E109" s="137">
        <v>85000000</v>
      </c>
      <c r="F109" s="137">
        <v>5841578.0499999998</v>
      </c>
      <c r="G109" s="137">
        <f>E109-F109</f>
        <v>79158421.950000003</v>
      </c>
    </row>
    <row r="110" spans="1:7" x14ac:dyDescent="0.2">
      <c r="A110" s="267" t="s">
        <v>3335</v>
      </c>
      <c r="B110" s="136" t="s">
        <v>1379</v>
      </c>
      <c r="C110" s="137">
        <v>6000000</v>
      </c>
      <c r="D110" s="270">
        <f>E110-C110</f>
        <v>0</v>
      </c>
      <c r="E110" s="137">
        <v>6000000</v>
      </c>
      <c r="F110" s="137">
        <v>0</v>
      </c>
      <c r="G110" s="137">
        <f>E110-F110</f>
        <v>6000000</v>
      </c>
    </row>
    <row r="111" spans="1:7" x14ac:dyDescent="0.2">
      <c r="A111" s="267" t="s">
        <v>3336</v>
      </c>
      <c r="B111" s="136" t="s">
        <v>1778</v>
      </c>
      <c r="C111" s="137">
        <v>7000000</v>
      </c>
      <c r="D111" s="270">
        <f>E111-C111</f>
        <v>0</v>
      </c>
      <c r="E111" s="137">
        <v>7000000</v>
      </c>
      <c r="F111" s="137">
        <v>9536776.6500000004</v>
      </c>
      <c r="G111" s="137">
        <f>E111-F111</f>
        <v>-2536776.6500000004</v>
      </c>
    </row>
    <row r="112" spans="1:7" x14ac:dyDescent="0.2">
      <c r="A112" s="267" t="s">
        <v>3601</v>
      </c>
      <c r="B112" s="136" t="s">
        <v>2559</v>
      </c>
      <c r="C112" s="137">
        <v>65000000</v>
      </c>
      <c r="D112" s="270">
        <f>E112-C112</f>
        <v>0</v>
      </c>
      <c r="E112" s="137">
        <v>65000000</v>
      </c>
      <c r="F112" s="137">
        <v>30050659.100000001</v>
      </c>
      <c r="G112" s="137">
        <f>E112-F112</f>
        <v>34949340.899999999</v>
      </c>
    </row>
    <row r="113" spans="1:7" x14ac:dyDescent="0.2">
      <c r="A113" s="139"/>
      <c r="B113" s="136"/>
      <c r="C113" s="144"/>
      <c r="D113" s="806"/>
      <c r="E113" s="144"/>
      <c r="F113" s="144"/>
      <c r="G113" s="144"/>
    </row>
    <row r="114" spans="1:7" x14ac:dyDescent="0.2">
      <c r="A114" s="156" t="s">
        <v>3337</v>
      </c>
      <c r="B114" s="153" t="s">
        <v>1240</v>
      </c>
      <c r="C114" s="154">
        <f>SUM(C115)</f>
        <v>0</v>
      </c>
      <c r="D114" s="805">
        <f>E114-C114</f>
        <v>0</v>
      </c>
      <c r="E114" s="154">
        <f>SUM(E115)</f>
        <v>0</v>
      </c>
      <c r="F114" s="154">
        <f>SUM(F115)</f>
        <v>0</v>
      </c>
      <c r="G114" s="154">
        <f>E114-F114</f>
        <v>0</v>
      </c>
    </row>
    <row r="115" spans="1:7" x14ac:dyDescent="0.2">
      <c r="A115" s="267" t="s">
        <v>3338</v>
      </c>
      <c r="B115" s="136" t="s">
        <v>1241</v>
      </c>
      <c r="C115" s="137">
        <v>0</v>
      </c>
      <c r="D115" s="270">
        <f>E115-C115</f>
        <v>0</v>
      </c>
      <c r="E115" s="137">
        <v>0</v>
      </c>
      <c r="F115" s="137">
        <v>0</v>
      </c>
      <c r="G115" s="137">
        <f>E115-F115</f>
        <v>0</v>
      </c>
    </row>
    <row r="116" spans="1:7" x14ac:dyDescent="0.2">
      <c r="A116" s="139"/>
      <c r="B116" s="136"/>
      <c r="C116" s="137"/>
      <c r="D116" s="270"/>
      <c r="E116" s="137"/>
      <c r="F116" s="137"/>
      <c r="G116" s="137"/>
    </row>
    <row r="117" spans="1:7" x14ac:dyDescent="0.2">
      <c r="A117" s="807" t="s">
        <v>3339</v>
      </c>
      <c r="B117" s="808" t="s">
        <v>1338</v>
      </c>
      <c r="C117" s="809">
        <f>SUM(C119+C124+C126)</f>
        <v>268794351395.67001</v>
      </c>
      <c r="D117" s="804">
        <f>E117-C117</f>
        <v>14243433190.069977</v>
      </c>
      <c r="E117" s="809">
        <f>SUM(E119+E124+E126)</f>
        <v>283037784585.73999</v>
      </c>
      <c r="F117" s="809">
        <f>SUM(F119+F124+F126)</f>
        <v>148075518219.03</v>
      </c>
      <c r="G117" s="809">
        <f>E117-F117</f>
        <v>134962266366.70999</v>
      </c>
    </row>
    <row r="118" spans="1:7" x14ac:dyDescent="0.2">
      <c r="A118" s="158"/>
      <c r="B118" s="143"/>
      <c r="C118" s="144"/>
      <c r="D118" s="806"/>
      <c r="E118" s="144"/>
      <c r="F118" s="144"/>
      <c r="G118" s="144"/>
    </row>
    <row r="119" spans="1:7" x14ac:dyDescent="0.2">
      <c r="A119" s="157" t="s">
        <v>3340</v>
      </c>
      <c r="B119" s="151" t="s">
        <v>3341</v>
      </c>
      <c r="C119" s="147">
        <f>SUM(C120:C122)</f>
        <v>267523351395.67001</v>
      </c>
      <c r="D119" s="804">
        <f>E119-C119</f>
        <v>14243433190.069977</v>
      </c>
      <c r="E119" s="147">
        <f>SUM(E120:E122)</f>
        <v>281766784585.73999</v>
      </c>
      <c r="F119" s="147">
        <f>SUM(F120:F122)</f>
        <v>146828572598.57999</v>
      </c>
      <c r="G119" s="147">
        <f>E119-F119</f>
        <v>134938211987.16</v>
      </c>
    </row>
    <row r="120" spans="1:7" x14ac:dyDescent="0.2">
      <c r="A120" s="267" t="s">
        <v>3342</v>
      </c>
      <c r="B120" s="136" t="s">
        <v>132</v>
      </c>
      <c r="C120" s="137">
        <v>266948551395.67001</v>
      </c>
      <c r="D120" s="270">
        <f>E120-C120</f>
        <v>14133728710.069977</v>
      </c>
      <c r="E120" s="137">
        <v>281082280105.73999</v>
      </c>
      <c r="F120" s="137">
        <v>146720437032.32999</v>
      </c>
      <c r="G120" s="137">
        <f>E120-F120</f>
        <v>134361843073.41</v>
      </c>
    </row>
    <row r="121" spans="1:7" x14ac:dyDescent="0.2">
      <c r="A121" s="267" t="s">
        <v>3343</v>
      </c>
      <c r="B121" s="136" t="s">
        <v>133</v>
      </c>
      <c r="C121" s="137">
        <v>500000000</v>
      </c>
      <c r="D121" s="270">
        <f>E121-C121</f>
        <v>0</v>
      </c>
      <c r="E121" s="137">
        <v>500000000</v>
      </c>
      <c r="F121" s="137">
        <v>1925</v>
      </c>
      <c r="G121" s="137">
        <f>E121-F121</f>
        <v>499998075</v>
      </c>
    </row>
    <row r="122" spans="1:7" x14ac:dyDescent="0.2">
      <c r="A122" s="267" t="s">
        <v>3344</v>
      </c>
      <c r="B122" s="268" t="s">
        <v>134</v>
      </c>
      <c r="C122" s="269">
        <v>74800000</v>
      </c>
      <c r="D122" s="270">
        <f>E122-C122</f>
        <v>109704480</v>
      </c>
      <c r="E122" s="269">
        <v>184504480</v>
      </c>
      <c r="F122" s="269">
        <v>108133641.25</v>
      </c>
      <c r="G122" s="269">
        <f>E122-F122</f>
        <v>76370838.75</v>
      </c>
    </row>
    <row r="123" spans="1:7" x14ac:dyDescent="0.2">
      <c r="A123" s="810"/>
      <c r="B123" s="136"/>
      <c r="C123" s="137"/>
      <c r="D123" s="270"/>
      <c r="E123" s="137"/>
      <c r="F123" s="137"/>
      <c r="G123" s="137"/>
    </row>
    <row r="124" spans="1:7" x14ac:dyDescent="0.2">
      <c r="A124" s="157" t="s">
        <v>3345</v>
      </c>
      <c r="B124" s="151" t="s">
        <v>1380</v>
      </c>
      <c r="C124" s="147">
        <v>1171000000</v>
      </c>
      <c r="D124" s="804">
        <f>E124-C124</f>
        <v>0</v>
      </c>
      <c r="E124" s="147">
        <v>1171000000</v>
      </c>
      <c r="F124" s="147">
        <v>1222786997.47</v>
      </c>
      <c r="G124" s="147">
        <f>E124-F124</f>
        <v>-51786997.470000029</v>
      </c>
    </row>
    <row r="125" spans="1:7" x14ac:dyDescent="0.2">
      <c r="A125" s="139"/>
      <c r="B125" s="136"/>
      <c r="C125" s="137"/>
      <c r="D125" s="270"/>
      <c r="E125" s="137"/>
      <c r="F125" s="137"/>
      <c r="G125" s="137"/>
    </row>
    <row r="126" spans="1:7" x14ac:dyDescent="0.2">
      <c r="A126" s="157" t="s">
        <v>3346</v>
      </c>
      <c r="B126" s="151" t="s">
        <v>1381</v>
      </c>
      <c r="C126" s="147">
        <f>SUM(C127)</f>
        <v>100000000</v>
      </c>
      <c r="D126" s="804">
        <f>E126-C126</f>
        <v>0</v>
      </c>
      <c r="E126" s="147">
        <f>SUM(E127)</f>
        <v>100000000</v>
      </c>
      <c r="F126" s="147">
        <f>SUM(F127)</f>
        <v>24158622.98</v>
      </c>
      <c r="G126" s="147">
        <f>E126-F126</f>
        <v>75841377.019999996</v>
      </c>
    </row>
    <row r="127" spans="1:7" x14ac:dyDescent="0.2">
      <c r="A127" s="267" t="s">
        <v>3347</v>
      </c>
      <c r="B127" s="136" t="s">
        <v>1382</v>
      </c>
      <c r="C127" s="137">
        <v>100000000</v>
      </c>
      <c r="D127" s="270">
        <f>E127-C127</f>
        <v>0</v>
      </c>
      <c r="E127" s="137">
        <v>100000000</v>
      </c>
      <c r="F127" s="137">
        <v>24158622.98</v>
      </c>
      <c r="G127" s="137">
        <f>E127-F127</f>
        <v>75841377.019999996</v>
      </c>
    </row>
    <row r="128" spans="1:7" x14ac:dyDescent="0.2">
      <c r="A128" s="139"/>
      <c r="B128" s="136"/>
      <c r="C128" s="137"/>
      <c r="D128" s="270"/>
      <c r="E128" s="137"/>
      <c r="F128" s="137"/>
      <c r="G128" s="137"/>
    </row>
    <row r="129" spans="1:7" x14ac:dyDescent="0.2">
      <c r="A129" s="157" t="s">
        <v>3348</v>
      </c>
      <c r="B129" s="151" t="s">
        <v>1242</v>
      </c>
      <c r="C129" s="147">
        <f>SUM(C131)</f>
        <v>218100000</v>
      </c>
      <c r="D129" s="804">
        <f>E129-C129</f>
        <v>0</v>
      </c>
      <c r="E129" s="147">
        <f>SUM(E131)</f>
        <v>218100000</v>
      </c>
      <c r="F129" s="147">
        <f>SUM(F131)</f>
        <v>78741171.760000005</v>
      </c>
      <c r="G129" s="147">
        <f>SUM(E129-F129)</f>
        <v>139358828.24000001</v>
      </c>
    </row>
    <row r="130" spans="1:7" x14ac:dyDescent="0.2">
      <c r="A130" s="156"/>
      <c r="B130" s="153"/>
      <c r="C130" s="154"/>
      <c r="D130" s="805"/>
      <c r="E130" s="154"/>
      <c r="F130" s="154"/>
      <c r="G130" s="154"/>
    </row>
    <row r="131" spans="1:7" x14ac:dyDescent="0.2">
      <c r="A131" s="157" t="s">
        <v>3349</v>
      </c>
      <c r="B131" s="151" t="s">
        <v>3350</v>
      </c>
      <c r="C131" s="147">
        <f>SUM(C133)</f>
        <v>218100000</v>
      </c>
      <c r="D131" s="804">
        <f>E131-C131</f>
        <v>0</v>
      </c>
      <c r="E131" s="147">
        <f>SUM(E133)</f>
        <v>218100000</v>
      </c>
      <c r="F131" s="147">
        <f>SUM(F133)</f>
        <v>78741171.760000005</v>
      </c>
      <c r="G131" s="147">
        <f>E131-F131</f>
        <v>139358828.24000001</v>
      </c>
    </row>
    <row r="132" spans="1:7" x14ac:dyDescent="0.2">
      <c r="A132" s="158"/>
      <c r="B132" s="143"/>
      <c r="C132" s="144"/>
      <c r="D132" s="811"/>
      <c r="E132" s="144"/>
      <c r="F132" s="144"/>
      <c r="G132" s="144"/>
    </row>
    <row r="133" spans="1:7" x14ac:dyDescent="0.2">
      <c r="A133" s="157" t="s">
        <v>3351</v>
      </c>
      <c r="B133" s="151" t="s">
        <v>1362</v>
      </c>
      <c r="C133" s="147">
        <f>SUM(C134)</f>
        <v>218100000</v>
      </c>
      <c r="D133" s="804">
        <f>E133-C133</f>
        <v>0</v>
      </c>
      <c r="E133" s="147">
        <f>SUM(E134)</f>
        <v>218100000</v>
      </c>
      <c r="F133" s="147">
        <f>SUM(F134)</f>
        <v>78741171.760000005</v>
      </c>
      <c r="G133" s="147">
        <f>E133-F133</f>
        <v>139358828.24000001</v>
      </c>
    </row>
    <row r="134" spans="1:7" x14ac:dyDescent="0.2">
      <c r="A134" s="267" t="s">
        <v>3351</v>
      </c>
      <c r="B134" s="136" t="s">
        <v>1363</v>
      </c>
      <c r="C134" s="137">
        <v>218100000</v>
      </c>
      <c r="D134" s="270">
        <f>E134-C134</f>
        <v>0</v>
      </c>
      <c r="E134" s="137">
        <v>218100000</v>
      </c>
      <c r="F134" s="137">
        <v>78741171.760000005</v>
      </c>
      <c r="G134" s="137">
        <f>E134-F134</f>
        <v>139358828.24000001</v>
      </c>
    </row>
    <row r="135" spans="1:7" x14ac:dyDescent="0.2">
      <c r="A135" s="139"/>
      <c r="B135" s="136"/>
      <c r="C135" s="137"/>
      <c r="D135" s="270"/>
      <c r="E135" s="137"/>
      <c r="F135" s="137"/>
      <c r="G135" s="137"/>
    </row>
    <row r="136" spans="1:7" x14ac:dyDescent="0.2">
      <c r="A136" s="157" t="s">
        <v>3352</v>
      </c>
      <c r="B136" s="151" t="s">
        <v>1364</v>
      </c>
      <c r="C136" s="147">
        <f>SUM(C138)</f>
        <v>43066101862.860001</v>
      </c>
      <c r="D136" s="804">
        <f>E136-C136</f>
        <v>3954615281.7600021</v>
      </c>
      <c r="E136" s="147">
        <f>SUM(E138)</f>
        <v>47020717144.620003</v>
      </c>
      <c r="F136" s="147">
        <f>SUM(F138)</f>
        <v>73961591031.179993</v>
      </c>
      <c r="G136" s="147">
        <f>SUM(E136-F136)</f>
        <v>-26940873886.55999</v>
      </c>
    </row>
    <row r="137" spans="1:7" x14ac:dyDescent="0.2">
      <c r="A137" s="157"/>
      <c r="B137" s="151"/>
      <c r="C137" s="147"/>
      <c r="D137" s="809"/>
      <c r="E137" s="147"/>
      <c r="F137" s="147"/>
      <c r="G137" s="147"/>
    </row>
    <row r="138" spans="1:7" x14ac:dyDescent="0.2">
      <c r="A138" s="157" t="s">
        <v>3353</v>
      </c>
      <c r="B138" s="151" t="s">
        <v>3602</v>
      </c>
      <c r="C138" s="147">
        <f>SUM(C140+C145)</f>
        <v>43066101862.860001</v>
      </c>
      <c r="D138" s="804">
        <f>E138-C138</f>
        <v>3954615281.7600021</v>
      </c>
      <c r="E138" s="147">
        <f>SUM(E140+E145)</f>
        <v>47020717144.620003</v>
      </c>
      <c r="F138" s="147">
        <f>SUM(F140+F145)</f>
        <v>73961591031.179993</v>
      </c>
      <c r="G138" s="147">
        <f>E138-F138</f>
        <v>-26940873886.55999</v>
      </c>
    </row>
    <row r="139" spans="1:7" x14ac:dyDescent="0.2">
      <c r="A139" s="158"/>
      <c r="B139" s="143"/>
      <c r="C139" s="144"/>
      <c r="D139" s="811"/>
      <c r="E139" s="144"/>
      <c r="F139" s="144"/>
      <c r="G139" s="144"/>
    </row>
    <row r="140" spans="1:7" x14ac:dyDescent="0.2">
      <c r="A140" s="157" t="s">
        <v>3354</v>
      </c>
      <c r="B140" s="151" t="s">
        <v>1365</v>
      </c>
      <c r="C140" s="147">
        <f>SUM(C142+C143)</f>
        <v>1613960000</v>
      </c>
      <c r="D140" s="804">
        <f>E140-C140</f>
        <v>0</v>
      </c>
      <c r="E140" s="147">
        <f>SUM(E142+E143)</f>
        <v>1613960000</v>
      </c>
      <c r="F140" s="147">
        <f>SUM(F142+F143)</f>
        <v>3669877968.5999999</v>
      </c>
      <c r="G140" s="147">
        <f>E140-F140</f>
        <v>-2055917968.5999999</v>
      </c>
    </row>
    <row r="141" spans="1:7" x14ac:dyDescent="0.2">
      <c r="A141" s="157"/>
      <c r="B141" s="151"/>
      <c r="C141" s="147"/>
      <c r="D141" s="804"/>
      <c r="E141" s="147"/>
      <c r="F141" s="147"/>
      <c r="G141" s="147"/>
    </row>
    <row r="142" spans="1:7" x14ac:dyDescent="0.2">
      <c r="A142" s="267" t="s">
        <v>3355</v>
      </c>
      <c r="B142" s="136" t="s">
        <v>1366</v>
      </c>
      <c r="C142" s="269">
        <v>1613960000</v>
      </c>
      <c r="D142" s="270">
        <f>E142-C142</f>
        <v>0</v>
      </c>
      <c r="E142" s="269">
        <v>1613960000</v>
      </c>
      <c r="F142" s="269">
        <v>3669877968.5999999</v>
      </c>
      <c r="G142" s="137">
        <f>E142-F142</f>
        <v>-2055917968.5999999</v>
      </c>
    </row>
    <row r="143" spans="1:7" x14ac:dyDescent="0.2">
      <c r="A143" s="267" t="s">
        <v>3356</v>
      </c>
      <c r="B143" s="136" t="s">
        <v>1726</v>
      </c>
      <c r="C143" s="269">
        <v>0</v>
      </c>
      <c r="D143" s="270">
        <f>E143-C143</f>
        <v>0</v>
      </c>
      <c r="E143" s="269">
        <v>0</v>
      </c>
      <c r="F143" s="269">
        <v>0</v>
      </c>
      <c r="G143" s="137">
        <f>E143-F143</f>
        <v>0</v>
      </c>
    </row>
    <row r="144" spans="1:7" x14ac:dyDescent="0.2">
      <c r="A144" s="140"/>
      <c r="B144" s="136"/>
      <c r="C144" s="137"/>
      <c r="D144" s="270"/>
      <c r="E144" s="137"/>
      <c r="F144" s="137"/>
      <c r="G144" s="137"/>
    </row>
    <row r="145" spans="1:7" x14ac:dyDescent="0.2">
      <c r="A145" s="157" t="s">
        <v>3357</v>
      </c>
      <c r="B145" s="151" t="s">
        <v>1367</v>
      </c>
      <c r="C145" s="147">
        <f>C147+C153+C155+C159+C160+C161+C162+C163+C164+C165</f>
        <v>41452141862.860001</v>
      </c>
      <c r="D145" s="804">
        <f>E145-C145</f>
        <v>3954615281.7600021</v>
      </c>
      <c r="E145" s="147">
        <f>E147+E153+E155+E159+E160+E161+E162+E163+E164+E165</f>
        <v>45406757144.620003</v>
      </c>
      <c r="F145" s="147">
        <f>F147+F153+F155+F159+F160+F161+F162+F163+F164+F165</f>
        <v>70291713062.579987</v>
      </c>
      <c r="G145" s="147">
        <f>E145-F145</f>
        <v>-24884955917.959984</v>
      </c>
    </row>
    <row r="146" spans="1:7" x14ac:dyDescent="0.2">
      <c r="A146" s="157"/>
      <c r="B146" s="151"/>
      <c r="C146" s="147"/>
      <c r="D146" s="804"/>
      <c r="E146" s="147"/>
      <c r="F146" s="147"/>
      <c r="G146" s="147"/>
    </row>
    <row r="147" spans="1:7" x14ac:dyDescent="0.2">
      <c r="A147" s="156" t="s">
        <v>3358</v>
      </c>
      <c r="B147" s="153" t="s">
        <v>548</v>
      </c>
      <c r="C147" s="154">
        <f>SUM(C148:C150)</f>
        <v>12284810388</v>
      </c>
      <c r="D147" s="805">
        <f>E147-C147</f>
        <v>3421140821.6200008</v>
      </c>
      <c r="E147" s="154">
        <f>SUM(E148:E151)</f>
        <v>15705951209.620001</v>
      </c>
      <c r="F147" s="154">
        <f>SUM(F148:F151)</f>
        <v>21744768159.110001</v>
      </c>
      <c r="G147" s="154">
        <f>E147-F147</f>
        <v>-6038816949.4899998</v>
      </c>
    </row>
    <row r="148" spans="1:7" x14ac:dyDescent="0.2">
      <c r="A148" s="267" t="s">
        <v>3359</v>
      </c>
      <c r="B148" s="136" t="s">
        <v>1383</v>
      </c>
      <c r="C148" s="269">
        <v>3968137423.46</v>
      </c>
      <c r="D148" s="270">
        <f>E148-C148</f>
        <v>2531862576.54</v>
      </c>
      <c r="E148" s="269">
        <v>6500000000</v>
      </c>
      <c r="F148" s="269">
        <v>8822129652.0100002</v>
      </c>
      <c r="G148" s="137">
        <f>E148-F148</f>
        <v>-2322129652.0100002</v>
      </c>
    </row>
    <row r="149" spans="1:7" x14ac:dyDescent="0.2">
      <c r="A149" s="267" t="s">
        <v>3360</v>
      </c>
      <c r="B149" s="136" t="s">
        <v>1384</v>
      </c>
      <c r="C149" s="269">
        <v>5721672964.54</v>
      </c>
      <c r="D149" s="270">
        <f>E149-C149</f>
        <v>127827035.46000004</v>
      </c>
      <c r="E149" s="269">
        <v>5849500000</v>
      </c>
      <c r="F149" s="269">
        <v>7136544730.21</v>
      </c>
      <c r="G149" s="137">
        <f>E149-F149</f>
        <v>-1287044730.21</v>
      </c>
    </row>
    <row r="150" spans="1:7" x14ac:dyDescent="0.2">
      <c r="A150" s="267" t="s">
        <v>3361</v>
      </c>
      <c r="B150" s="136" t="s">
        <v>1385</v>
      </c>
      <c r="C150" s="269">
        <v>2595000000</v>
      </c>
      <c r="D150" s="270">
        <f>E150-C150</f>
        <v>0</v>
      </c>
      <c r="E150" s="269">
        <v>2595000000</v>
      </c>
      <c r="F150" s="269">
        <v>5024642567.2700005</v>
      </c>
      <c r="G150" s="137">
        <f>E150-F150</f>
        <v>-2429642567.2700005</v>
      </c>
    </row>
    <row r="151" spans="1:7" x14ac:dyDescent="0.2">
      <c r="A151" s="139" t="s">
        <v>3362</v>
      </c>
      <c r="B151" s="136" t="s">
        <v>3363</v>
      </c>
      <c r="C151" s="269">
        <v>0</v>
      </c>
      <c r="D151" s="270">
        <f>E151-C151</f>
        <v>761451209.62</v>
      </c>
      <c r="E151" s="269">
        <v>761451209.62</v>
      </c>
      <c r="F151" s="269">
        <v>761451209.62</v>
      </c>
      <c r="G151" s="137">
        <f>E151-F151</f>
        <v>0</v>
      </c>
    </row>
    <row r="152" spans="1:7" x14ac:dyDescent="0.2">
      <c r="A152" s="139"/>
      <c r="B152" s="136"/>
      <c r="C152" s="137"/>
      <c r="D152" s="270"/>
      <c r="E152" s="137"/>
      <c r="F152" s="137"/>
      <c r="G152" s="137"/>
    </row>
    <row r="153" spans="1:7" x14ac:dyDescent="0.2">
      <c r="A153" s="157" t="s">
        <v>3364</v>
      </c>
      <c r="B153" s="153" t="s">
        <v>549</v>
      </c>
      <c r="C153" s="154">
        <v>2493203529.96</v>
      </c>
      <c r="D153" s="805">
        <f>E153-C153</f>
        <v>406796470.03999996</v>
      </c>
      <c r="E153" s="155">
        <v>2900000000</v>
      </c>
      <c r="F153" s="155">
        <v>3511140060.1900001</v>
      </c>
      <c r="G153" s="154">
        <f>E153-F153</f>
        <v>-611140060.19000006</v>
      </c>
    </row>
    <row r="154" spans="1:7" x14ac:dyDescent="0.2">
      <c r="A154" s="139"/>
      <c r="B154" s="136"/>
      <c r="C154" s="269"/>
      <c r="D154" s="270"/>
      <c r="E154" s="269"/>
      <c r="F154" s="269"/>
      <c r="G154" s="137"/>
    </row>
    <row r="155" spans="1:7" x14ac:dyDescent="0.2">
      <c r="A155" s="156" t="s">
        <v>3365</v>
      </c>
      <c r="B155" s="153" t="s">
        <v>550</v>
      </c>
      <c r="C155" s="154">
        <f>SUM(C156:C157)</f>
        <v>673322009.9000001</v>
      </c>
      <c r="D155" s="805">
        <f>E155-C155</f>
        <v>126677990.0999999</v>
      </c>
      <c r="E155" s="155">
        <f>SUM(E156:E157)</f>
        <v>800000000</v>
      </c>
      <c r="F155" s="155">
        <f>SUM(F156:F157)</f>
        <v>772015465.49000001</v>
      </c>
      <c r="G155" s="154">
        <f>E155-F155</f>
        <v>27984534.50999999</v>
      </c>
    </row>
    <row r="156" spans="1:7" x14ac:dyDescent="0.2">
      <c r="A156" s="267" t="s">
        <v>3366</v>
      </c>
      <c r="B156" s="136" t="s">
        <v>1386</v>
      </c>
      <c r="C156" s="269">
        <v>325182028.97000003</v>
      </c>
      <c r="D156" s="270">
        <f>E156-C156</f>
        <v>74817971.029999971</v>
      </c>
      <c r="E156" s="269">
        <v>400000000</v>
      </c>
      <c r="F156" s="269">
        <v>443340120.24000001</v>
      </c>
      <c r="G156" s="137">
        <f>E156-F156</f>
        <v>-43340120.24000001</v>
      </c>
    </row>
    <row r="157" spans="1:7" x14ac:dyDescent="0.2">
      <c r="A157" s="267" t="s">
        <v>3367</v>
      </c>
      <c r="B157" s="136" t="s">
        <v>1008</v>
      </c>
      <c r="C157" s="269">
        <v>348139980.93000001</v>
      </c>
      <c r="D157" s="270">
        <f>E157-C157</f>
        <v>51860019.069999993</v>
      </c>
      <c r="E157" s="269">
        <v>400000000</v>
      </c>
      <c r="F157" s="269">
        <v>328675345.25</v>
      </c>
      <c r="G157" s="137">
        <f>E157-F157</f>
        <v>71324654.75</v>
      </c>
    </row>
    <row r="158" spans="1:7" x14ac:dyDescent="0.2">
      <c r="A158" s="139"/>
      <c r="B158" s="136"/>
      <c r="C158" s="269"/>
      <c r="D158" s="270"/>
      <c r="E158" s="269"/>
      <c r="F158" s="269"/>
      <c r="G158" s="137"/>
    </row>
    <row r="159" spans="1:7" x14ac:dyDescent="0.2">
      <c r="A159" s="156" t="s">
        <v>3368</v>
      </c>
      <c r="B159" s="153" t="s">
        <v>551</v>
      </c>
      <c r="C159" s="154">
        <v>0</v>
      </c>
      <c r="D159" s="805">
        <f t="shared" ref="D159:D165" si="4">E159-C159</f>
        <v>0</v>
      </c>
      <c r="E159" s="155">
        <v>0</v>
      </c>
      <c r="F159" s="155">
        <v>2107900957.6500001</v>
      </c>
      <c r="G159" s="154">
        <f t="shared" ref="G159:G165" si="5">E159-F159</f>
        <v>-2107900957.6500001</v>
      </c>
    </row>
    <row r="160" spans="1:7" x14ac:dyDescent="0.2">
      <c r="A160" s="156" t="s">
        <v>3369</v>
      </c>
      <c r="B160" s="153" t="s">
        <v>552</v>
      </c>
      <c r="C160" s="154">
        <v>0</v>
      </c>
      <c r="D160" s="805">
        <f t="shared" si="4"/>
        <v>0</v>
      </c>
      <c r="E160" s="155">
        <v>0</v>
      </c>
      <c r="F160" s="155">
        <v>199932548.37</v>
      </c>
      <c r="G160" s="154">
        <f t="shared" si="5"/>
        <v>-199932548.37</v>
      </c>
    </row>
    <row r="161" spans="1:9" x14ac:dyDescent="0.2">
      <c r="A161" s="156" t="s">
        <v>3370</v>
      </c>
      <c r="B161" s="153" t="s">
        <v>553</v>
      </c>
      <c r="C161" s="154">
        <v>0</v>
      </c>
      <c r="D161" s="805">
        <f t="shared" si="4"/>
        <v>0</v>
      </c>
      <c r="E161" s="154">
        <v>0</v>
      </c>
      <c r="F161" s="154">
        <v>238283159.83000001</v>
      </c>
      <c r="G161" s="154">
        <f t="shared" si="5"/>
        <v>-238283159.83000001</v>
      </c>
    </row>
    <row r="162" spans="1:9" x14ac:dyDescent="0.2">
      <c r="A162" s="156" t="s">
        <v>3371</v>
      </c>
      <c r="B162" s="153" t="s">
        <v>554</v>
      </c>
      <c r="C162" s="154">
        <v>10569582000</v>
      </c>
      <c r="D162" s="805">
        <f t="shared" si="4"/>
        <v>0</v>
      </c>
      <c r="E162" s="154">
        <v>10569582000</v>
      </c>
      <c r="F162" s="154">
        <v>14690357520.98</v>
      </c>
      <c r="G162" s="154">
        <f t="shared" si="5"/>
        <v>-4120775520.9799995</v>
      </c>
    </row>
    <row r="163" spans="1:9" x14ac:dyDescent="0.2">
      <c r="A163" s="265" t="s">
        <v>3372</v>
      </c>
      <c r="B163" s="266" t="s">
        <v>2560</v>
      </c>
      <c r="C163" s="161">
        <v>9775000000</v>
      </c>
      <c r="D163" s="805">
        <f t="shared" si="4"/>
        <v>0</v>
      </c>
      <c r="E163" s="161">
        <v>9775000000</v>
      </c>
      <c r="F163" s="161">
        <v>17777388043.689999</v>
      </c>
      <c r="G163" s="161">
        <f t="shared" si="5"/>
        <v>-8002388043.6899986</v>
      </c>
    </row>
    <row r="164" spans="1:9" x14ac:dyDescent="0.2">
      <c r="A164" s="156" t="s">
        <v>3373</v>
      </c>
      <c r="B164" s="153" t="s">
        <v>1727</v>
      </c>
      <c r="C164" s="154">
        <v>4000000000</v>
      </c>
      <c r="D164" s="805">
        <f t="shared" si="4"/>
        <v>0</v>
      </c>
      <c r="E164" s="154">
        <v>4000000000</v>
      </c>
      <c r="F164" s="154">
        <v>7000468020.0900002</v>
      </c>
      <c r="G164" s="154">
        <f t="shared" si="5"/>
        <v>-3000468020.0900002</v>
      </c>
    </row>
    <row r="165" spans="1:9" x14ac:dyDescent="0.2">
      <c r="A165" s="156" t="s">
        <v>3374</v>
      </c>
      <c r="B165" s="153" t="s">
        <v>2561</v>
      </c>
      <c r="C165" s="154">
        <v>1656223935</v>
      </c>
      <c r="D165" s="805">
        <f t="shared" si="4"/>
        <v>0</v>
      </c>
      <c r="E165" s="154">
        <v>1656223935</v>
      </c>
      <c r="F165" s="154">
        <v>2249459127.1799998</v>
      </c>
      <c r="G165" s="154">
        <f t="shared" si="5"/>
        <v>-593235192.17999983</v>
      </c>
    </row>
    <row r="166" spans="1:9" x14ac:dyDescent="0.2">
      <c r="A166" s="135"/>
      <c r="B166" s="136"/>
      <c r="C166" s="137"/>
      <c r="D166" s="270"/>
      <c r="E166" s="137"/>
      <c r="F166" s="137"/>
      <c r="G166" s="137"/>
    </row>
    <row r="167" spans="1:9" x14ac:dyDescent="0.2">
      <c r="A167" s="1111" t="s">
        <v>93</v>
      </c>
      <c r="B167" s="1111"/>
      <c r="C167" s="160">
        <f>SUM(C5+C129+C136)</f>
        <v>329349479927.85999</v>
      </c>
      <c r="D167" s="812">
        <f>E167-C167</f>
        <v>18198048471.830017</v>
      </c>
      <c r="E167" s="160">
        <f>SUM(E5+E129+E136)</f>
        <v>347547528399.69</v>
      </c>
      <c r="F167" s="160">
        <f>SUM(F5+F129+F136)</f>
        <v>231925444488.14001</v>
      </c>
      <c r="G167" s="160">
        <f>SUM(E167-F167)</f>
        <v>115622083911.54999</v>
      </c>
    </row>
    <row r="168" spans="1:9" x14ac:dyDescent="0.2">
      <c r="A168" s="800"/>
      <c r="B168" s="136"/>
      <c r="C168" s="269"/>
      <c r="D168" s="801"/>
      <c r="E168" s="647"/>
      <c r="F168" s="647"/>
      <c r="G168" s="647"/>
    </row>
    <row r="169" spans="1:9" ht="20.25" customHeight="1" x14ac:dyDescent="0.2">
      <c r="A169" s="1112" t="s">
        <v>4152</v>
      </c>
      <c r="B169" s="1112"/>
      <c r="C169" s="1112"/>
      <c r="D169" s="1112"/>
      <c r="E169" s="1112"/>
      <c r="F169" s="1112"/>
      <c r="G169" s="1112"/>
    </row>
    <row r="170" spans="1:9" x14ac:dyDescent="0.2">
      <c r="A170" s="1112" t="s">
        <v>3603</v>
      </c>
      <c r="B170" s="1112"/>
      <c r="C170" s="1112"/>
      <c r="D170" s="1112"/>
      <c r="E170" s="1112"/>
      <c r="F170" s="1112"/>
      <c r="G170" s="1112"/>
    </row>
    <row r="171" spans="1:9" x14ac:dyDescent="0.2">
      <c r="A171" s="135"/>
      <c r="B171" s="647"/>
      <c r="C171" s="647"/>
      <c r="D171" s="801"/>
      <c r="E171" s="138"/>
      <c r="F171" s="137"/>
      <c r="G171" s="137"/>
      <c r="H171" s="159"/>
      <c r="I171" s="162"/>
    </row>
    <row r="172" spans="1:9" x14ac:dyDescent="0.2">
      <c r="A172" s="813" t="s">
        <v>1522</v>
      </c>
      <c r="B172" s="647"/>
      <c r="C172" s="138" t="s">
        <v>468</v>
      </c>
      <c r="D172" s="801"/>
      <c r="E172" s="138"/>
      <c r="F172" s="137" t="s">
        <v>468</v>
      </c>
      <c r="G172" s="137"/>
      <c r="H172" s="159"/>
      <c r="I172" s="162"/>
    </row>
    <row r="173" spans="1:9" x14ac:dyDescent="0.2">
      <c r="A173" s="1113" t="s">
        <v>3604</v>
      </c>
      <c r="B173" s="1113"/>
      <c r="C173" s="814" t="s">
        <v>468</v>
      </c>
      <c r="D173" s="801"/>
      <c r="E173" s="138"/>
      <c r="F173" s="137" t="s">
        <v>468</v>
      </c>
      <c r="G173" s="137"/>
      <c r="H173" s="159"/>
      <c r="I173" s="162"/>
    </row>
    <row r="174" spans="1:9" x14ac:dyDescent="0.2">
      <c r="A174" s="800"/>
      <c r="B174" s="647"/>
      <c r="C174" s="647"/>
      <c r="D174" s="270" t="s">
        <v>468</v>
      </c>
      <c r="E174" s="138"/>
      <c r="F174" s="647"/>
      <c r="G174" s="647"/>
    </row>
    <row r="175" spans="1:9" x14ac:dyDescent="0.2">
      <c r="D175" s="163" t="s">
        <v>468</v>
      </c>
      <c r="E175" s="163"/>
    </row>
  </sheetData>
  <mergeCells count="4">
    <mergeCell ref="A167:B167"/>
    <mergeCell ref="A169:G169"/>
    <mergeCell ref="A170:G170"/>
    <mergeCell ref="A173:B173"/>
  </mergeCells>
  <phoneticPr fontId="0" type="noConversion"/>
  <pageMargins left="0.78740157480314965" right="0.51181102362204722" top="1.7322834645669292" bottom="0.74803149606299213" header="0.51181102362204722" footer="0.6692913385826772"/>
  <pageSetup paperSize="9" scale="58" firstPageNumber="53" fitToHeight="4" orientation="portrait" r:id="rId1"/>
  <headerFooter alignWithMargins="0">
    <oddHeader>&amp;C&amp;"Arial Negrita,Negrita"&amp;K000000UNIVERSIDAD DE COSTA RICA
VICERRECTORÍA DE ADMINISTRACIÓN
OFICINA DE ADMINISTRACIÓN FINANCIERA
SITUACIÓN PRESUPUESTARIA DE INGRESOS TOTALES
SEGÚN CLASIFICADOR DE INGRESO
Al 30 de junio de 2017 
 Expresado en colones</oddHeader>
    <oddFooter>&amp;C&amp;P</oddFooter>
  </headerFooter>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C8" sqref="C8"/>
    </sheetView>
  </sheetViews>
  <sheetFormatPr baseColWidth="10" defaultRowHeight="12.75" x14ac:dyDescent="0.2"/>
  <sheetData/>
  <phoneticPr fontId="0" type="noConversion"/>
  <printOptions horizontalCentered="1" verticalCentered="1"/>
  <pageMargins left="1.1811023622047245" right="0.74803149606299213" top="0" bottom="0.98425196850393704" header="0" footer="0"/>
  <pageSetup paperSize="9" scale="95"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9"/>
  <sheetViews>
    <sheetView workbookViewId="0">
      <selection activeCell="I35" sqref="I35"/>
    </sheetView>
  </sheetViews>
  <sheetFormatPr baseColWidth="10" defaultRowHeight="12.75" x14ac:dyDescent="0.2"/>
  <sheetData>
    <row r="19" spans="1:1" x14ac:dyDescent="0.2">
      <c r="A19" s="2"/>
    </row>
  </sheetData>
  <phoneticPr fontId="0" type="noConversion"/>
  <printOptions horizontalCentered="1" verticalCentered="1"/>
  <pageMargins left="1.1811023622047245" right="0.74803149606299213" top="0" bottom="0.98425196850393704" header="0" footer="0"/>
  <pageSetup paperSize="9" scale="95" firstPageNumber="62"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9"/>
  <sheetViews>
    <sheetView workbookViewId="0">
      <selection activeCell="I35" sqref="I35"/>
    </sheetView>
  </sheetViews>
  <sheetFormatPr baseColWidth="10" defaultRowHeight="12.75" x14ac:dyDescent="0.2"/>
  <sheetData>
    <row r="19" spans="1:1" x14ac:dyDescent="0.2">
      <c r="A19" s="2"/>
    </row>
  </sheetData>
  <phoneticPr fontId="0" type="noConversion"/>
  <printOptions horizontalCentered="1" verticalCentered="1"/>
  <pageMargins left="1.1811023622047245" right="0.74803149606299213" top="0" bottom="0.98425196850393704" header="0" footer="0"/>
  <pageSetup paperSize="9" scale="95" firstPageNumber="64"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9"/>
  <sheetViews>
    <sheetView workbookViewId="0">
      <selection activeCell="H39" sqref="H39"/>
    </sheetView>
  </sheetViews>
  <sheetFormatPr baseColWidth="10" defaultRowHeight="12.75" x14ac:dyDescent="0.2"/>
  <cols>
    <col min="6" max="6" width="11.28515625" customWidth="1"/>
  </cols>
  <sheetData>
    <row r="19" spans="1:1" x14ac:dyDescent="0.2">
      <c r="A19" s="2"/>
    </row>
  </sheetData>
  <phoneticPr fontId="0" type="noConversion"/>
  <printOptions horizontalCentered="1" verticalCentered="1"/>
  <pageMargins left="1.1811023622047245" right="0.74803149606299213" top="0" bottom="0.98425196850393704" header="0" footer="0"/>
  <pageSetup paperSize="9" scale="95" firstPageNumber="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F108"/>
  <sheetViews>
    <sheetView topLeftCell="A28" workbookViewId="0">
      <selection activeCell="B47" sqref="B47"/>
    </sheetView>
  </sheetViews>
  <sheetFormatPr baseColWidth="10" defaultColWidth="47.28515625" defaultRowHeight="11.25" x14ac:dyDescent="0.2"/>
  <cols>
    <col min="1" max="1" width="45.28515625" style="119" customWidth="1"/>
    <col min="2" max="2" width="23.140625" style="121" customWidth="1"/>
    <col min="3" max="3" width="11.140625" style="120" customWidth="1"/>
    <col min="4" max="4" width="2.7109375" style="119" customWidth="1"/>
    <col min="5" max="5" width="21" style="119" bestFit="1" customWidth="1"/>
    <col min="6" max="6" width="2.7109375" style="119" customWidth="1"/>
    <col min="7" max="247" width="12.140625" style="119" customWidth="1"/>
    <col min="248" max="248" width="47.28515625" style="119"/>
    <col min="249" max="249" width="37.28515625" style="119" customWidth="1"/>
    <col min="250" max="250" width="17.28515625" style="119" customWidth="1"/>
    <col min="251" max="251" width="3.85546875" style="119" customWidth="1"/>
    <col min="252" max="252" width="16" style="119" customWidth="1"/>
    <col min="253" max="253" width="4.7109375" style="119" customWidth="1"/>
    <col min="254" max="254" width="16" style="119" customWidth="1"/>
    <col min="255" max="503" width="12.140625" style="119" customWidth="1"/>
    <col min="504" max="504" width="47.28515625" style="119"/>
    <col min="505" max="505" width="37.28515625" style="119" customWidth="1"/>
    <col min="506" max="506" width="17.28515625" style="119" customWidth="1"/>
    <col min="507" max="507" width="3.85546875" style="119" customWidth="1"/>
    <col min="508" max="508" width="16" style="119" customWidth="1"/>
    <col min="509" max="509" width="4.7109375" style="119" customWidth="1"/>
    <col min="510" max="510" width="16" style="119" customWidth="1"/>
    <col min="511" max="759" width="12.140625" style="119" customWidth="1"/>
    <col min="760" max="760" width="47.28515625" style="119"/>
    <col min="761" max="761" width="37.28515625" style="119" customWidth="1"/>
    <col min="762" max="762" width="17.28515625" style="119" customWidth="1"/>
    <col min="763" max="763" width="3.85546875" style="119" customWidth="1"/>
    <col min="764" max="764" width="16" style="119" customWidth="1"/>
    <col min="765" max="765" width="4.7109375" style="119" customWidth="1"/>
    <col min="766" max="766" width="16" style="119" customWidth="1"/>
    <col min="767" max="1015" width="12.140625" style="119" customWidth="1"/>
    <col min="1016" max="1016" width="47.28515625" style="119"/>
    <col min="1017" max="1017" width="37.28515625" style="119" customWidth="1"/>
    <col min="1018" max="1018" width="17.28515625" style="119" customWidth="1"/>
    <col min="1019" max="1019" width="3.85546875" style="119" customWidth="1"/>
    <col min="1020" max="1020" width="16" style="119" customWidth="1"/>
    <col min="1021" max="1021" width="4.7109375" style="119" customWidth="1"/>
    <col min="1022" max="1022" width="16" style="119" customWidth="1"/>
    <col min="1023" max="1271" width="12.140625" style="119" customWidth="1"/>
    <col min="1272" max="1272" width="47.28515625" style="119"/>
    <col min="1273" max="1273" width="37.28515625" style="119" customWidth="1"/>
    <col min="1274" max="1274" width="17.28515625" style="119" customWidth="1"/>
    <col min="1275" max="1275" width="3.85546875" style="119" customWidth="1"/>
    <col min="1276" max="1276" width="16" style="119" customWidth="1"/>
    <col min="1277" max="1277" width="4.7109375" style="119" customWidth="1"/>
    <col min="1278" max="1278" width="16" style="119" customWidth="1"/>
    <col min="1279" max="1527" width="12.140625" style="119" customWidth="1"/>
    <col min="1528" max="1528" width="47.28515625" style="119"/>
    <col min="1529" max="1529" width="37.28515625" style="119" customWidth="1"/>
    <col min="1530" max="1530" width="17.28515625" style="119" customWidth="1"/>
    <col min="1531" max="1531" width="3.85546875" style="119" customWidth="1"/>
    <col min="1532" max="1532" width="16" style="119" customWidth="1"/>
    <col min="1533" max="1533" width="4.7109375" style="119" customWidth="1"/>
    <col min="1534" max="1534" width="16" style="119" customWidth="1"/>
    <col min="1535" max="1783" width="12.140625" style="119" customWidth="1"/>
    <col min="1784" max="1784" width="47.28515625" style="119"/>
    <col min="1785" max="1785" width="37.28515625" style="119" customWidth="1"/>
    <col min="1786" max="1786" width="17.28515625" style="119" customWidth="1"/>
    <col min="1787" max="1787" width="3.85546875" style="119" customWidth="1"/>
    <col min="1788" max="1788" width="16" style="119" customWidth="1"/>
    <col min="1789" max="1789" width="4.7109375" style="119" customWidth="1"/>
    <col min="1790" max="1790" width="16" style="119" customWidth="1"/>
    <col min="1791" max="2039" width="12.140625" style="119" customWidth="1"/>
    <col min="2040" max="2040" width="47.28515625" style="119"/>
    <col min="2041" max="2041" width="37.28515625" style="119" customWidth="1"/>
    <col min="2042" max="2042" width="17.28515625" style="119" customWidth="1"/>
    <col min="2043" max="2043" width="3.85546875" style="119" customWidth="1"/>
    <col min="2044" max="2044" width="16" style="119" customWidth="1"/>
    <col min="2045" max="2045" width="4.7109375" style="119" customWidth="1"/>
    <col min="2046" max="2046" width="16" style="119" customWidth="1"/>
    <col min="2047" max="2295" width="12.140625" style="119" customWidth="1"/>
    <col min="2296" max="2296" width="47.28515625" style="119"/>
    <col min="2297" max="2297" width="37.28515625" style="119" customWidth="1"/>
    <col min="2298" max="2298" width="17.28515625" style="119" customWidth="1"/>
    <col min="2299" max="2299" width="3.85546875" style="119" customWidth="1"/>
    <col min="2300" max="2300" width="16" style="119" customWidth="1"/>
    <col min="2301" max="2301" width="4.7109375" style="119" customWidth="1"/>
    <col min="2302" max="2302" width="16" style="119" customWidth="1"/>
    <col min="2303" max="2551" width="12.140625" style="119" customWidth="1"/>
    <col min="2552" max="2552" width="47.28515625" style="119"/>
    <col min="2553" max="2553" width="37.28515625" style="119" customWidth="1"/>
    <col min="2554" max="2554" width="17.28515625" style="119" customWidth="1"/>
    <col min="2555" max="2555" width="3.85546875" style="119" customWidth="1"/>
    <col min="2556" max="2556" width="16" style="119" customWidth="1"/>
    <col min="2557" max="2557" width="4.7109375" style="119" customWidth="1"/>
    <col min="2558" max="2558" width="16" style="119" customWidth="1"/>
    <col min="2559" max="2807" width="12.140625" style="119" customWidth="1"/>
    <col min="2808" max="2808" width="47.28515625" style="119"/>
    <col min="2809" max="2809" width="37.28515625" style="119" customWidth="1"/>
    <col min="2810" max="2810" width="17.28515625" style="119" customWidth="1"/>
    <col min="2811" max="2811" width="3.85546875" style="119" customWidth="1"/>
    <col min="2812" max="2812" width="16" style="119" customWidth="1"/>
    <col min="2813" max="2813" width="4.7109375" style="119" customWidth="1"/>
    <col min="2814" max="2814" width="16" style="119" customWidth="1"/>
    <col min="2815" max="3063" width="12.140625" style="119" customWidth="1"/>
    <col min="3064" max="3064" width="47.28515625" style="119"/>
    <col min="3065" max="3065" width="37.28515625" style="119" customWidth="1"/>
    <col min="3066" max="3066" width="17.28515625" style="119" customWidth="1"/>
    <col min="3067" max="3067" width="3.85546875" style="119" customWidth="1"/>
    <col min="3068" max="3068" width="16" style="119" customWidth="1"/>
    <col min="3069" max="3069" width="4.7109375" style="119" customWidth="1"/>
    <col min="3070" max="3070" width="16" style="119" customWidth="1"/>
    <col min="3071" max="3319" width="12.140625" style="119" customWidth="1"/>
    <col min="3320" max="3320" width="47.28515625" style="119"/>
    <col min="3321" max="3321" width="37.28515625" style="119" customWidth="1"/>
    <col min="3322" max="3322" width="17.28515625" style="119" customWidth="1"/>
    <col min="3323" max="3323" width="3.85546875" style="119" customWidth="1"/>
    <col min="3324" max="3324" width="16" style="119" customWidth="1"/>
    <col min="3325" max="3325" width="4.7109375" style="119" customWidth="1"/>
    <col min="3326" max="3326" width="16" style="119" customWidth="1"/>
    <col min="3327" max="3575" width="12.140625" style="119" customWidth="1"/>
    <col min="3576" max="3576" width="47.28515625" style="119"/>
    <col min="3577" max="3577" width="37.28515625" style="119" customWidth="1"/>
    <col min="3578" max="3578" width="17.28515625" style="119" customWidth="1"/>
    <col min="3579" max="3579" width="3.85546875" style="119" customWidth="1"/>
    <col min="3580" max="3580" width="16" style="119" customWidth="1"/>
    <col min="3581" max="3581" width="4.7109375" style="119" customWidth="1"/>
    <col min="3582" max="3582" width="16" style="119" customWidth="1"/>
    <col min="3583" max="3831" width="12.140625" style="119" customWidth="1"/>
    <col min="3832" max="3832" width="47.28515625" style="119"/>
    <col min="3833" max="3833" width="37.28515625" style="119" customWidth="1"/>
    <col min="3834" max="3834" width="17.28515625" style="119" customWidth="1"/>
    <col min="3835" max="3835" width="3.85546875" style="119" customWidth="1"/>
    <col min="3836" max="3836" width="16" style="119" customWidth="1"/>
    <col min="3837" max="3837" width="4.7109375" style="119" customWidth="1"/>
    <col min="3838" max="3838" width="16" style="119" customWidth="1"/>
    <col min="3839" max="4087" width="12.140625" style="119" customWidth="1"/>
    <col min="4088" max="4088" width="47.28515625" style="119"/>
    <col min="4089" max="4089" width="37.28515625" style="119" customWidth="1"/>
    <col min="4090" max="4090" width="17.28515625" style="119" customWidth="1"/>
    <col min="4091" max="4091" width="3.85546875" style="119" customWidth="1"/>
    <col min="4092" max="4092" width="16" style="119" customWidth="1"/>
    <col min="4093" max="4093" width="4.7109375" style="119" customWidth="1"/>
    <col min="4094" max="4094" width="16" style="119" customWidth="1"/>
    <col min="4095" max="4343" width="12.140625" style="119" customWidth="1"/>
    <col min="4344" max="4344" width="47.28515625" style="119"/>
    <col min="4345" max="4345" width="37.28515625" style="119" customWidth="1"/>
    <col min="4346" max="4346" width="17.28515625" style="119" customWidth="1"/>
    <col min="4347" max="4347" width="3.85546875" style="119" customWidth="1"/>
    <col min="4348" max="4348" width="16" style="119" customWidth="1"/>
    <col min="4349" max="4349" width="4.7109375" style="119" customWidth="1"/>
    <col min="4350" max="4350" width="16" style="119" customWidth="1"/>
    <col min="4351" max="4599" width="12.140625" style="119" customWidth="1"/>
    <col min="4600" max="4600" width="47.28515625" style="119"/>
    <col min="4601" max="4601" width="37.28515625" style="119" customWidth="1"/>
    <col min="4602" max="4602" width="17.28515625" style="119" customWidth="1"/>
    <col min="4603" max="4603" width="3.85546875" style="119" customWidth="1"/>
    <col min="4604" max="4604" width="16" style="119" customWidth="1"/>
    <col min="4605" max="4605" width="4.7109375" style="119" customWidth="1"/>
    <col min="4606" max="4606" width="16" style="119" customWidth="1"/>
    <col min="4607" max="4855" width="12.140625" style="119" customWidth="1"/>
    <col min="4856" max="4856" width="47.28515625" style="119"/>
    <col min="4857" max="4857" width="37.28515625" style="119" customWidth="1"/>
    <col min="4858" max="4858" width="17.28515625" style="119" customWidth="1"/>
    <col min="4859" max="4859" width="3.85546875" style="119" customWidth="1"/>
    <col min="4860" max="4860" width="16" style="119" customWidth="1"/>
    <col min="4861" max="4861" width="4.7109375" style="119" customWidth="1"/>
    <col min="4862" max="4862" width="16" style="119" customWidth="1"/>
    <col min="4863" max="5111" width="12.140625" style="119" customWidth="1"/>
    <col min="5112" max="5112" width="47.28515625" style="119"/>
    <col min="5113" max="5113" width="37.28515625" style="119" customWidth="1"/>
    <col min="5114" max="5114" width="17.28515625" style="119" customWidth="1"/>
    <col min="5115" max="5115" width="3.85546875" style="119" customWidth="1"/>
    <col min="5116" max="5116" width="16" style="119" customWidth="1"/>
    <col min="5117" max="5117" width="4.7109375" style="119" customWidth="1"/>
    <col min="5118" max="5118" width="16" style="119" customWidth="1"/>
    <col min="5119" max="5367" width="12.140625" style="119" customWidth="1"/>
    <col min="5368" max="5368" width="47.28515625" style="119"/>
    <col min="5369" max="5369" width="37.28515625" style="119" customWidth="1"/>
    <col min="5370" max="5370" width="17.28515625" style="119" customWidth="1"/>
    <col min="5371" max="5371" width="3.85546875" style="119" customWidth="1"/>
    <col min="5372" max="5372" width="16" style="119" customWidth="1"/>
    <col min="5373" max="5373" width="4.7109375" style="119" customWidth="1"/>
    <col min="5374" max="5374" width="16" style="119" customWidth="1"/>
    <col min="5375" max="5623" width="12.140625" style="119" customWidth="1"/>
    <col min="5624" max="5624" width="47.28515625" style="119"/>
    <col min="5625" max="5625" width="37.28515625" style="119" customWidth="1"/>
    <col min="5626" max="5626" width="17.28515625" style="119" customWidth="1"/>
    <col min="5627" max="5627" width="3.85546875" style="119" customWidth="1"/>
    <col min="5628" max="5628" width="16" style="119" customWidth="1"/>
    <col min="5629" max="5629" width="4.7109375" style="119" customWidth="1"/>
    <col min="5630" max="5630" width="16" style="119" customWidth="1"/>
    <col min="5631" max="5879" width="12.140625" style="119" customWidth="1"/>
    <col min="5880" max="5880" width="47.28515625" style="119"/>
    <col min="5881" max="5881" width="37.28515625" style="119" customWidth="1"/>
    <col min="5882" max="5882" width="17.28515625" style="119" customWidth="1"/>
    <col min="5883" max="5883" width="3.85546875" style="119" customWidth="1"/>
    <col min="5884" max="5884" width="16" style="119" customWidth="1"/>
    <col min="5885" max="5885" width="4.7109375" style="119" customWidth="1"/>
    <col min="5886" max="5886" width="16" style="119" customWidth="1"/>
    <col min="5887" max="6135" width="12.140625" style="119" customWidth="1"/>
    <col min="6136" max="6136" width="47.28515625" style="119"/>
    <col min="6137" max="6137" width="37.28515625" style="119" customWidth="1"/>
    <col min="6138" max="6138" width="17.28515625" style="119" customWidth="1"/>
    <col min="6139" max="6139" width="3.85546875" style="119" customWidth="1"/>
    <col min="6140" max="6140" width="16" style="119" customWidth="1"/>
    <col min="6141" max="6141" width="4.7109375" style="119" customWidth="1"/>
    <col min="6142" max="6142" width="16" style="119" customWidth="1"/>
    <col min="6143" max="6391" width="12.140625" style="119" customWidth="1"/>
    <col min="6392" max="6392" width="47.28515625" style="119"/>
    <col min="6393" max="6393" width="37.28515625" style="119" customWidth="1"/>
    <col min="6394" max="6394" width="17.28515625" style="119" customWidth="1"/>
    <col min="6395" max="6395" width="3.85546875" style="119" customWidth="1"/>
    <col min="6396" max="6396" width="16" style="119" customWidth="1"/>
    <col min="6397" max="6397" width="4.7109375" style="119" customWidth="1"/>
    <col min="6398" max="6398" width="16" style="119" customWidth="1"/>
    <col min="6399" max="6647" width="12.140625" style="119" customWidth="1"/>
    <col min="6648" max="6648" width="47.28515625" style="119"/>
    <col min="6649" max="6649" width="37.28515625" style="119" customWidth="1"/>
    <col min="6650" max="6650" width="17.28515625" style="119" customWidth="1"/>
    <col min="6651" max="6651" width="3.85546875" style="119" customWidth="1"/>
    <col min="6652" max="6652" width="16" style="119" customWidth="1"/>
    <col min="6653" max="6653" width="4.7109375" style="119" customWidth="1"/>
    <col min="6654" max="6654" width="16" style="119" customWidth="1"/>
    <col min="6655" max="6903" width="12.140625" style="119" customWidth="1"/>
    <col min="6904" max="6904" width="47.28515625" style="119"/>
    <col min="6905" max="6905" width="37.28515625" style="119" customWidth="1"/>
    <col min="6906" max="6906" width="17.28515625" style="119" customWidth="1"/>
    <col min="6907" max="6907" width="3.85546875" style="119" customWidth="1"/>
    <col min="6908" max="6908" width="16" style="119" customWidth="1"/>
    <col min="6909" max="6909" width="4.7109375" style="119" customWidth="1"/>
    <col min="6910" max="6910" width="16" style="119" customWidth="1"/>
    <col min="6911" max="7159" width="12.140625" style="119" customWidth="1"/>
    <col min="7160" max="7160" width="47.28515625" style="119"/>
    <col min="7161" max="7161" width="37.28515625" style="119" customWidth="1"/>
    <col min="7162" max="7162" width="17.28515625" style="119" customWidth="1"/>
    <col min="7163" max="7163" width="3.85546875" style="119" customWidth="1"/>
    <col min="7164" max="7164" width="16" style="119" customWidth="1"/>
    <col min="7165" max="7165" width="4.7109375" style="119" customWidth="1"/>
    <col min="7166" max="7166" width="16" style="119" customWidth="1"/>
    <col min="7167" max="7415" width="12.140625" style="119" customWidth="1"/>
    <col min="7416" max="7416" width="47.28515625" style="119"/>
    <col min="7417" max="7417" width="37.28515625" style="119" customWidth="1"/>
    <col min="7418" max="7418" width="17.28515625" style="119" customWidth="1"/>
    <col min="7419" max="7419" width="3.85546875" style="119" customWidth="1"/>
    <col min="7420" max="7420" width="16" style="119" customWidth="1"/>
    <col min="7421" max="7421" width="4.7109375" style="119" customWidth="1"/>
    <col min="7422" max="7422" width="16" style="119" customWidth="1"/>
    <col min="7423" max="7671" width="12.140625" style="119" customWidth="1"/>
    <col min="7672" max="7672" width="47.28515625" style="119"/>
    <col min="7673" max="7673" width="37.28515625" style="119" customWidth="1"/>
    <col min="7674" max="7674" width="17.28515625" style="119" customWidth="1"/>
    <col min="7675" max="7675" width="3.85546875" style="119" customWidth="1"/>
    <col min="7676" max="7676" width="16" style="119" customWidth="1"/>
    <col min="7677" max="7677" width="4.7109375" style="119" customWidth="1"/>
    <col min="7678" max="7678" width="16" style="119" customWidth="1"/>
    <col min="7679" max="7927" width="12.140625" style="119" customWidth="1"/>
    <col min="7928" max="7928" width="47.28515625" style="119"/>
    <col min="7929" max="7929" width="37.28515625" style="119" customWidth="1"/>
    <col min="7930" max="7930" width="17.28515625" style="119" customWidth="1"/>
    <col min="7931" max="7931" width="3.85546875" style="119" customWidth="1"/>
    <col min="7932" max="7932" width="16" style="119" customWidth="1"/>
    <col min="7933" max="7933" width="4.7109375" style="119" customWidth="1"/>
    <col min="7934" max="7934" width="16" style="119" customWidth="1"/>
    <col min="7935" max="8183" width="12.140625" style="119" customWidth="1"/>
    <col min="8184" max="8184" width="47.28515625" style="119"/>
    <col min="8185" max="8185" width="37.28515625" style="119" customWidth="1"/>
    <col min="8186" max="8186" width="17.28515625" style="119" customWidth="1"/>
    <col min="8187" max="8187" width="3.85546875" style="119" customWidth="1"/>
    <col min="8188" max="8188" width="16" style="119" customWidth="1"/>
    <col min="8189" max="8189" width="4.7109375" style="119" customWidth="1"/>
    <col min="8190" max="8190" width="16" style="119" customWidth="1"/>
    <col min="8191" max="8439" width="12.140625" style="119" customWidth="1"/>
    <col min="8440" max="8440" width="47.28515625" style="119"/>
    <col min="8441" max="8441" width="37.28515625" style="119" customWidth="1"/>
    <col min="8442" max="8442" width="17.28515625" style="119" customWidth="1"/>
    <col min="8443" max="8443" width="3.85546875" style="119" customWidth="1"/>
    <col min="8444" max="8444" width="16" style="119" customWidth="1"/>
    <col min="8445" max="8445" width="4.7109375" style="119" customWidth="1"/>
    <col min="8446" max="8446" width="16" style="119" customWidth="1"/>
    <col min="8447" max="8695" width="12.140625" style="119" customWidth="1"/>
    <col min="8696" max="8696" width="47.28515625" style="119"/>
    <col min="8697" max="8697" width="37.28515625" style="119" customWidth="1"/>
    <col min="8698" max="8698" width="17.28515625" style="119" customWidth="1"/>
    <col min="8699" max="8699" width="3.85546875" style="119" customWidth="1"/>
    <col min="8700" max="8700" width="16" style="119" customWidth="1"/>
    <col min="8701" max="8701" width="4.7109375" style="119" customWidth="1"/>
    <col min="8702" max="8702" width="16" style="119" customWidth="1"/>
    <col min="8703" max="8951" width="12.140625" style="119" customWidth="1"/>
    <col min="8952" max="8952" width="47.28515625" style="119"/>
    <col min="8953" max="8953" width="37.28515625" style="119" customWidth="1"/>
    <col min="8954" max="8954" width="17.28515625" style="119" customWidth="1"/>
    <col min="8955" max="8955" width="3.85546875" style="119" customWidth="1"/>
    <col min="8956" max="8956" width="16" style="119" customWidth="1"/>
    <col min="8957" max="8957" width="4.7109375" style="119" customWidth="1"/>
    <col min="8958" max="8958" width="16" style="119" customWidth="1"/>
    <col min="8959" max="9207" width="12.140625" style="119" customWidth="1"/>
    <col min="9208" max="9208" width="47.28515625" style="119"/>
    <col min="9209" max="9209" width="37.28515625" style="119" customWidth="1"/>
    <col min="9210" max="9210" width="17.28515625" style="119" customWidth="1"/>
    <col min="9211" max="9211" width="3.85546875" style="119" customWidth="1"/>
    <col min="9212" max="9212" width="16" style="119" customWidth="1"/>
    <col min="9213" max="9213" width="4.7109375" style="119" customWidth="1"/>
    <col min="9214" max="9214" width="16" style="119" customWidth="1"/>
    <col min="9215" max="9463" width="12.140625" style="119" customWidth="1"/>
    <col min="9464" max="9464" width="47.28515625" style="119"/>
    <col min="9465" max="9465" width="37.28515625" style="119" customWidth="1"/>
    <col min="9466" max="9466" width="17.28515625" style="119" customWidth="1"/>
    <col min="9467" max="9467" width="3.85546875" style="119" customWidth="1"/>
    <col min="9468" max="9468" width="16" style="119" customWidth="1"/>
    <col min="9469" max="9469" width="4.7109375" style="119" customWidth="1"/>
    <col min="9470" max="9470" width="16" style="119" customWidth="1"/>
    <col min="9471" max="9719" width="12.140625" style="119" customWidth="1"/>
    <col min="9720" max="9720" width="47.28515625" style="119"/>
    <col min="9721" max="9721" width="37.28515625" style="119" customWidth="1"/>
    <col min="9722" max="9722" width="17.28515625" style="119" customWidth="1"/>
    <col min="9723" max="9723" width="3.85546875" style="119" customWidth="1"/>
    <col min="9724" max="9724" width="16" style="119" customWidth="1"/>
    <col min="9725" max="9725" width="4.7109375" style="119" customWidth="1"/>
    <col min="9726" max="9726" width="16" style="119" customWidth="1"/>
    <col min="9727" max="9975" width="12.140625" style="119" customWidth="1"/>
    <col min="9976" max="9976" width="47.28515625" style="119"/>
    <col min="9977" max="9977" width="37.28515625" style="119" customWidth="1"/>
    <col min="9978" max="9978" width="17.28515625" style="119" customWidth="1"/>
    <col min="9979" max="9979" width="3.85546875" style="119" customWidth="1"/>
    <col min="9980" max="9980" width="16" style="119" customWidth="1"/>
    <col min="9981" max="9981" width="4.7109375" style="119" customWidth="1"/>
    <col min="9982" max="9982" width="16" style="119" customWidth="1"/>
    <col min="9983" max="10231" width="12.140625" style="119" customWidth="1"/>
    <col min="10232" max="10232" width="47.28515625" style="119"/>
    <col min="10233" max="10233" width="37.28515625" style="119" customWidth="1"/>
    <col min="10234" max="10234" width="17.28515625" style="119" customWidth="1"/>
    <col min="10235" max="10235" width="3.85546875" style="119" customWidth="1"/>
    <col min="10236" max="10236" width="16" style="119" customWidth="1"/>
    <col min="10237" max="10237" width="4.7109375" style="119" customWidth="1"/>
    <col min="10238" max="10238" width="16" style="119" customWidth="1"/>
    <col min="10239" max="10487" width="12.140625" style="119" customWidth="1"/>
    <col min="10488" max="10488" width="47.28515625" style="119"/>
    <col min="10489" max="10489" width="37.28515625" style="119" customWidth="1"/>
    <col min="10490" max="10490" width="17.28515625" style="119" customWidth="1"/>
    <col min="10491" max="10491" width="3.85546875" style="119" customWidth="1"/>
    <col min="10492" max="10492" width="16" style="119" customWidth="1"/>
    <col min="10493" max="10493" width="4.7109375" style="119" customWidth="1"/>
    <col min="10494" max="10494" width="16" style="119" customWidth="1"/>
    <col min="10495" max="10743" width="12.140625" style="119" customWidth="1"/>
    <col min="10744" max="10744" width="47.28515625" style="119"/>
    <col min="10745" max="10745" width="37.28515625" style="119" customWidth="1"/>
    <col min="10746" max="10746" width="17.28515625" style="119" customWidth="1"/>
    <col min="10747" max="10747" width="3.85546875" style="119" customWidth="1"/>
    <col min="10748" max="10748" width="16" style="119" customWidth="1"/>
    <col min="10749" max="10749" width="4.7109375" style="119" customWidth="1"/>
    <col min="10750" max="10750" width="16" style="119" customWidth="1"/>
    <col min="10751" max="10999" width="12.140625" style="119" customWidth="1"/>
    <col min="11000" max="11000" width="47.28515625" style="119"/>
    <col min="11001" max="11001" width="37.28515625" style="119" customWidth="1"/>
    <col min="11002" max="11002" width="17.28515625" style="119" customWidth="1"/>
    <col min="11003" max="11003" width="3.85546875" style="119" customWidth="1"/>
    <col min="11004" max="11004" width="16" style="119" customWidth="1"/>
    <col min="11005" max="11005" width="4.7109375" style="119" customWidth="1"/>
    <col min="11006" max="11006" width="16" style="119" customWidth="1"/>
    <col min="11007" max="11255" width="12.140625" style="119" customWidth="1"/>
    <col min="11256" max="11256" width="47.28515625" style="119"/>
    <col min="11257" max="11257" width="37.28515625" style="119" customWidth="1"/>
    <col min="11258" max="11258" width="17.28515625" style="119" customWidth="1"/>
    <col min="11259" max="11259" width="3.85546875" style="119" customWidth="1"/>
    <col min="11260" max="11260" width="16" style="119" customWidth="1"/>
    <col min="11261" max="11261" width="4.7109375" style="119" customWidth="1"/>
    <col min="11262" max="11262" width="16" style="119" customWidth="1"/>
    <col min="11263" max="11511" width="12.140625" style="119" customWidth="1"/>
    <col min="11512" max="11512" width="47.28515625" style="119"/>
    <col min="11513" max="11513" width="37.28515625" style="119" customWidth="1"/>
    <col min="11514" max="11514" width="17.28515625" style="119" customWidth="1"/>
    <col min="11515" max="11515" width="3.85546875" style="119" customWidth="1"/>
    <col min="11516" max="11516" width="16" style="119" customWidth="1"/>
    <col min="11517" max="11517" width="4.7109375" style="119" customWidth="1"/>
    <col min="11518" max="11518" width="16" style="119" customWidth="1"/>
    <col min="11519" max="11767" width="12.140625" style="119" customWidth="1"/>
    <col min="11768" max="11768" width="47.28515625" style="119"/>
    <col min="11769" max="11769" width="37.28515625" style="119" customWidth="1"/>
    <col min="11770" max="11770" width="17.28515625" style="119" customWidth="1"/>
    <col min="11771" max="11771" width="3.85546875" style="119" customWidth="1"/>
    <col min="11772" max="11772" width="16" style="119" customWidth="1"/>
    <col min="11773" max="11773" width="4.7109375" style="119" customWidth="1"/>
    <col min="11774" max="11774" width="16" style="119" customWidth="1"/>
    <col min="11775" max="12023" width="12.140625" style="119" customWidth="1"/>
    <col min="12024" max="12024" width="47.28515625" style="119"/>
    <col min="12025" max="12025" width="37.28515625" style="119" customWidth="1"/>
    <col min="12026" max="12026" width="17.28515625" style="119" customWidth="1"/>
    <col min="12027" max="12027" width="3.85546875" style="119" customWidth="1"/>
    <col min="12028" max="12028" width="16" style="119" customWidth="1"/>
    <col min="12029" max="12029" width="4.7109375" style="119" customWidth="1"/>
    <col min="12030" max="12030" width="16" style="119" customWidth="1"/>
    <col min="12031" max="12279" width="12.140625" style="119" customWidth="1"/>
    <col min="12280" max="12280" width="47.28515625" style="119"/>
    <col min="12281" max="12281" width="37.28515625" style="119" customWidth="1"/>
    <col min="12282" max="12282" width="17.28515625" style="119" customWidth="1"/>
    <col min="12283" max="12283" width="3.85546875" style="119" customWidth="1"/>
    <col min="12284" max="12284" width="16" style="119" customWidth="1"/>
    <col min="12285" max="12285" width="4.7109375" style="119" customWidth="1"/>
    <col min="12286" max="12286" width="16" style="119" customWidth="1"/>
    <col min="12287" max="12535" width="12.140625" style="119" customWidth="1"/>
    <col min="12536" max="12536" width="47.28515625" style="119"/>
    <col min="12537" max="12537" width="37.28515625" style="119" customWidth="1"/>
    <col min="12538" max="12538" width="17.28515625" style="119" customWidth="1"/>
    <col min="12539" max="12539" width="3.85546875" style="119" customWidth="1"/>
    <col min="12540" max="12540" width="16" style="119" customWidth="1"/>
    <col min="12541" max="12541" width="4.7109375" style="119" customWidth="1"/>
    <col min="12542" max="12542" width="16" style="119" customWidth="1"/>
    <col min="12543" max="12791" width="12.140625" style="119" customWidth="1"/>
    <col min="12792" max="12792" width="47.28515625" style="119"/>
    <col min="12793" max="12793" width="37.28515625" style="119" customWidth="1"/>
    <col min="12794" max="12794" width="17.28515625" style="119" customWidth="1"/>
    <col min="12795" max="12795" width="3.85546875" style="119" customWidth="1"/>
    <col min="12796" max="12796" width="16" style="119" customWidth="1"/>
    <col min="12797" max="12797" width="4.7109375" style="119" customWidth="1"/>
    <col min="12798" max="12798" width="16" style="119" customWidth="1"/>
    <col min="12799" max="13047" width="12.140625" style="119" customWidth="1"/>
    <col min="13048" max="13048" width="47.28515625" style="119"/>
    <col min="13049" max="13049" width="37.28515625" style="119" customWidth="1"/>
    <col min="13050" max="13050" width="17.28515625" style="119" customWidth="1"/>
    <col min="13051" max="13051" width="3.85546875" style="119" customWidth="1"/>
    <col min="13052" max="13052" width="16" style="119" customWidth="1"/>
    <col min="13053" max="13053" width="4.7109375" style="119" customWidth="1"/>
    <col min="13054" max="13054" width="16" style="119" customWidth="1"/>
    <col min="13055" max="13303" width="12.140625" style="119" customWidth="1"/>
    <col min="13304" max="13304" width="47.28515625" style="119"/>
    <col min="13305" max="13305" width="37.28515625" style="119" customWidth="1"/>
    <col min="13306" max="13306" width="17.28515625" style="119" customWidth="1"/>
    <col min="13307" max="13307" width="3.85546875" style="119" customWidth="1"/>
    <col min="13308" max="13308" width="16" style="119" customWidth="1"/>
    <col min="13309" max="13309" width="4.7109375" style="119" customWidth="1"/>
    <col min="13310" max="13310" width="16" style="119" customWidth="1"/>
    <col min="13311" max="13559" width="12.140625" style="119" customWidth="1"/>
    <col min="13560" max="13560" width="47.28515625" style="119"/>
    <col min="13561" max="13561" width="37.28515625" style="119" customWidth="1"/>
    <col min="13562" max="13562" width="17.28515625" style="119" customWidth="1"/>
    <col min="13563" max="13563" width="3.85546875" style="119" customWidth="1"/>
    <col min="13564" max="13564" width="16" style="119" customWidth="1"/>
    <col min="13565" max="13565" width="4.7109375" style="119" customWidth="1"/>
    <col min="13566" max="13566" width="16" style="119" customWidth="1"/>
    <col min="13567" max="13815" width="12.140625" style="119" customWidth="1"/>
    <col min="13816" max="13816" width="47.28515625" style="119"/>
    <col min="13817" max="13817" width="37.28515625" style="119" customWidth="1"/>
    <col min="13818" max="13818" width="17.28515625" style="119" customWidth="1"/>
    <col min="13819" max="13819" width="3.85546875" style="119" customWidth="1"/>
    <col min="13820" max="13820" width="16" style="119" customWidth="1"/>
    <col min="13821" max="13821" width="4.7109375" style="119" customWidth="1"/>
    <col min="13822" max="13822" width="16" style="119" customWidth="1"/>
    <col min="13823" max="14071" width="12.140625" style="119" customWidth="1"/>
    <col min="14072" max="14072" width="47.28515625" style="119"/>
    <col min="14073" max="14073" width="37.28515625" style="119" customWidth="1"/>
    <col min="14074" max="14074" width="17.28515625" style="119" customWidth="1"/>
    <col min="14075" max="14075" width="3.85546875" style="119" customWidth="1"/>
    <col min="14076" max="14076" width="16" style="119" customWidth="1"/>
    <col min="14077" max="14077" width="4.7109375" style="119" customWidth="1"/>
    <col min="14078" max="14078" width="16" style="119" customWidth="1"/>
    <col min="14079" max="14327" width="12.140625" style="119" customWidth="1"/>
    <col min="14328" max="14328" width="47.28515625" style="119"/>
    <col min="14329" max="14329" width="37.28515625" style="119" customWidth="1"/>
    <col min="14330" max="14330" width="17.28515625" style="119" customWidth="1"/>
    <col min="14331" max="14331" width="3.85546875" style="119" customWidth="1"/>
    <col min="14332" max="14332" width="16" style="119" customWidth="1"/>
    <col min="14333" max="14333" width="4.7109375" style="119" customWidth="1"/>
    <col min="14334" max="14334" width="16" style="119" customWidth="1"/>
    <col min="14335" max="14583" width="12.140625" style="119" customWidth="1"/>
    <col min="14584" max="14584" width="47.28515625" style="119"/>
    <col min="14585" max="14585" width="37.28515625" style="119" customWidth="1"/>
    <col min="14586" max="14586" width="17.28515625" style="119" customWidth="1"/>
    <col min="14587" max="14587" width="3.85546875" style="119" customWidth="1"/>
    <col min="14588" max="14588" width="16" style="119" customWidth="1"/>
    <col min="14589" max="14589" width="4.7109375" style="119" customWidth="1"/>
    <col min="14590" max="14590" width="16" style="119" customWidth="1"/>
    <col min="14591" max="14839" width="12.140625" style="119" customWidth="1"/>
    <col min="14840" max="14840" width="47.28515625" style="119"/>
    <col min="14841" max="14841" width="37.28515625" style="119" customWidth="1"/>
    <col min="14842" max="14842" width="17.28515625" style="119" customWidth="1"/>
    <col min="14843" max="14843" width="3.85546875" style="119" customWidth="1"/>
    <col min="14844" max="14844" width="16" style="119" customWidth="1"/>
    <col min="14845" max="14845" width="4.7109375" style="119" customWidth="1"/>
    <col min="14846" max="14846" width="16" style="119" customWidth="1"/>
    <col min="14847" max="15095" width="12.140625" style="119" customWidth="1"/>
    <col min="15096" max="15096" width="47.28515625" style="119"/>
    <col min="15097" max="15097" width="37.28515625" style="119" customWidth="1"/>
    <col min="15098" max="15098" width="17.28515625" style="119" customWidth="1"/>
    <col min="15099" max="15099" width="3.85546875" style="119" customWidth="1"/>
    <col min="15100" max="15100" width="16" style="119" customWidth="1"/>
    <col min="15101" max="15101" width="4.7109375" style="119" customWidth="1"/>
    <col min="15102" max="15102" width="16" style="119" customWidth="1"/>
    <col min="15103" max="15351" width="12.140625" style="119" customWidth="1"/>
    <col min="15352" max="15352" width="47.28515625" style="119"/>
    <col min="15353" max="15353" width="37.28515625" style="119" customWidth="1"/>
    <col min="15354" max="15354" width="17.28515625" style="119" customWidth="1"/>
    <col min="15355" max="15355" width="3.85546875" style="119" customWidth="1"/>
    <col min="15356" max="15356" width="16" style="119" customWidth="1"/>
    <col min="15357" max="15357" width="4.7109375" style="119" customWidth="1"/>
    <col min="15358" max="15358" width="16" style="119" customWidth="1"/>
    <col min="15359" max="15607" width="12.140625" style="119" customWidth="1"/>
    <col min="15608" max="15608" width="47.28515625" style="119"/>
    <col min="15609" max="15609" width="37.28515625" style="119" customWidth="1"/>
    <col min="15610" max="15610" width="17.28515625" style="119" customWidth="1"/>
    <col min="15611" max="15611" width="3.85546875" style="119" customWidth="1"/>
    <col min="15612" max="15612" width="16" style="119" customWidth="1"/>
    <col min="15613" max="15613" width="4.7109375" style="119" customWidth="1"/>
    <col min="15614" max="15614" width="16" style="119" customWidth="1"/>
    <col min="15615" max="15863" width="12.140625" style="119" customWidth="1"/>
    <col min="15864" max="15864" width="47.28515625" style="119"/>
    <col min="15865" max="15865" width="37.28515625" style="119" customWidth="1"/>
    <col min="15866" max="15866" width="17.28515625" style="119" customWidth="1"/>
    <col min="15867" max="15867" width="3.85546875" style="119" customWidth="1"/>
    <col min="15868" max="15868" width="16" style="119" customWidth="1"/>
    <col min="15869" max="15869" width="4.7109375" style="119" customWidth="1"/>
    <col min="15870" max="15870" width="16" style="119" customWidth="1"/>
    <col min="15871" max="16119" width="12.140625" style="119" customWidth="1"/>
    <col min="16120" max="16120" width="47.28515625" style="119"/>
    <col min="16121" max="16121" width="37.28515625" style="119" customWidth="1"/>
    <col min="16122" max="16122" width="17.28515625" style="119" customWidth="1"/>
    <col min="16123" max="16123" width="3.85546875" style="119" customWidth="1"/>
    <col min="16124" max="16124" width="16" style="119" customWidth="1"/>
    <col min="16125" max="16125" width="4.7109375" style="119" customWidth="1"/>
    <col min="16126" max="16126" width="16" style="119" customWidth="1"/>
    <col min="16127" max="16375" width="12.140625" style="119" customWidth="1"/>
    <col min="16376" max="16384" width="47.28515625" style="119"/>
  </cols>
  <sheetData>
    <row r="1" spans="1:6" ht="15" x14ac:dyDescent="0.25">
      <c r="A1" s="1064" t="s">
        <v>3402</v>
      </c>
      <c r="B1" s="1064"/>
      <c r="C1" s="1064"/>
      <c r="D1" s="1064"/>
      <c r="E1" s="1064"/>
      <c r="F1" s="1064"/>
    </row>
    <row r="2" spans="1:6" ht="15" x14ac:dyDescent="0.25">
      <c r="A2" s="1064" t="s">
        <v>3399</v>
      </c>
      <c r="B2" s="1064"/>
      <c r="C2" s="1064"/>
      <c r="D2" s="1064"/>
      <c r="E2" s="1064"/>
      <c r="F2" s="1064"/>
    </row>
    <row r="3" spans="1:6" ht="15" x14ac:dyDescent="0.25">
      <c r="A3" s="1064" t="s">
        <v>3400</v>
      </c>
      <c r="B3" s="1064"/>
      <c r="C3" s="1064"/>
      <c r="D3" s="1064"/>
      <c r="E3" s="1064"/>
      <c r="F3" s="1064"/>
    </row>
    <row r="4" spans="1:6" ht="14.25" x14ac:dyDescent="0.2">
      <c r="A4" s="448"/>
      <c r="B4" s="450"/>
      <c r="C4" s="449"/>
      <c r="D4" s="448"/>
      <c r="E4" s="448"/>
      <c r="F4" s="448"/>
    </row>
    <row r="5" spans="1:6" s="182" customFormat="1" ht="15" x14ac:dyDescent="0.2">
      <c r="A5" s="1068" t="s">
        <v>3591</v>
      </c>
      <c r="B5" s="1068"/>
      <c r="C5" s="1068"/>
      <c r="D5" s="1068"/>
      <c r="E5" s="1068"/>
      <c r="F5" s="1068"/>
    </row>
    <row r="6" spans="1:6" s="182" customFormat="1" ht="15" x14ac:dyDescent="0.2">
      <c r="A6" s="1068" t="s">
        <v>3592</v>
      </c>
      <c r="B6" s="1068"/>
      <c r="C6" s="1068"/>
      <c r="D6" s="1068"/>
      <c r="E6" s="1068"/>
      <c r="F6" s="1017"/>
    </row>
    <row r="7" spans="1:6" s="182" customFormat="1" ht="15" x14ac:dyDescent="0.2">
      <c r="A7" s="1068" t="s">
        <v>3445</v>
      </c>
      <c r="B7" s="1068"/>
      <c r="C7" s="1068"/>
      <c r="D7" s="1068"/>
      <c r="E7" s="1068"/>
      <c r="F7" s="1068"/>
    </row>
    <row r="8" spans="1:6" s="182" customFormat="1" ht="15" x14ac:dyDescent="0.2">
      <c r="A8" s="1068" t="s">
        <v>3534</v>
      </c>
      <c r="B8" s="1068"/>
      <c r="C8" s="1068"/>
      <c r="D8" s="1068"/>
      <c r="E8" s="1068"/>
      <c r="F8" s="1068"/>
    </row>
    <row r="9" spans="1:6" s="182" customFormat="1" ht="12.75" x14ac:dyDescent="0.2">
      <c r="A9" s="183"/>
      <c r="B9" s="183"/>
      <c r="C9" s="478"/>
      <c r="D9" s="183"/>
      <c r="E9" s="183"/>
      <c r="F9" s="183"/>
    </row>
    <row r="10" spans="1:6" s="182" customFormat="1" ht="15.75" thickBot="1" x14ac:dyDescent="0.3">
      <c r="A10" s="451"/>
      <c r="B10" s="1065">
        <v>2017</v>
      </c>
      <c r="C10" s="1065"/>
      <c r="D10" s="452"/>
      <c r="E10" s="1034">
        <v>2016</v>
      </c>
    </row>
    <row r="11" spans="1:6" ht="14.25" x14ac:dyDescent="0.2">
      <c r="A11" s="451"/>
      <c r="B11" s="451"/>
      <c r="C11" s="479"/>
      <c r="D11" s="452"/>
      <c r="E11" s="452"/>
    </row>
    <row r="12" spans="1:6" ht="30" x14ac:dyDescent="0.25">
      <c r="A12" s="484" t="s">
        <v>2298</v>
      </c>
      <c r="B12" s="454"/>
      <c r="C12" s="707" t="s">
        <v>4147</v>
      </c>
      <c r="D12" s="455"/>
      <c r="E12" s="452"/>
    </row>
    <row r="13" spans="1:6" ht="15" x14ac:dyDescent="0.25">
      <c r="A13" s="474"/>
      <c r="B13" s="455"/>
      <c r="C13" s="483"/>
      <c r="D13" s="456"/>
      <c r="E13" s="452"/>
    </row>
    <row r="14" spans="1:6" ht="14.25" x14ac:dyDescent="0.2">
      <c r="A14" s="474" t="s">
        <v>751</v>
      </c>
      <c r="B14" s="1023">
        <v>202232564.13</v>
      </c>
      <c r="C14" s="1035">
        <f>B14/B31</f>
        <v>8.7197230375618215E-4</v>
      </c>
      <c r="D14" s="458"/>
      <c r="E14" s="459">
        <v>247670983.49000001</v>
      </c>
    </row>
    <row r="15" spans="1:6" ht="14.25" x14ac:dyDescent="0.2">
      <c r="A15" s="474" t="s">
        <v>1305</v>
      </c>
      <c r="B15" s="462">
        <v>85964119.409999996</v>
      </c>
      <c r="C15" s="1035">
        <f>B15/B31</f>
        <v>3.7065411084895409E-4</v>
      </c>
      <c r="D15" s="458"/>
      <c r="E15" s="467">
        <v>78557844.890000001</v>
      </c>
    </row>
    <row r="16" spans="1:6" ht="14.25" x14ac:dyDescent="0.2">
      <c r="A16" s="485" t="s">
        <v>186</v>
      </c>
      <c r="B16" s="462"/>
      <c r="C16" s="1035"/>
      <c r="D16" s="462"/>
      <c r="E16" s="1024"/>
    </row>
    <row r="17" spans="1:5" ht="14.25" x14ac:dyDescent="0.2">
      <c r="A17" s="485" t="s">
        <v>4115</v>
      </c>
      <c r="B17" s="462">
        <v>395419055.54000002</v>
      </c>
      <c r="C17" s="1035">
        <f>B17/B31</f>
        <v>1.7049403803566735E-3</v>
      </c>
      <c r="D17" s="462"/>
      <c r="E17" s="467">
        <v>394385915.67000002</v>
      </c>
    </row>
    <row r="18" spans="1:5" ht="14.25" x14ac:dyDescent="0.2">
      <c r="A18" s="485" t="s">
        <v>4114</v>
      </c>
      <c r="B18" s="1025">
        <v>1630138860.54</v>
      </c>
      <c r="C18" s="1035">
        <f>B18/B31</f>
        <v>7.028719354781103E-3</v>
      </c>
      <c r="D18" s="462"/>
      <c r="E18" s="467">
        <v>1596013043.3599999</v>
      </c>
    </row>
    <row r="19" spans="1:5" ht="14.25" x14ac:dyDescent="0.2">
      <c r="A19" s="474" t="s">
        <v>4116</v>
      </c>
      <c r="B19" s="462">
        <v>3956685454.0799999</v>
      </c>
      <c r="C19" s="1035">
        <f>B19/B31</f>
        <v>1.7060161134162807E-2</v>
      </c>
      <c r="D19" s="462"/>
      <c r="E19" s="467">
        <v>4398963261.8000002</v>
      </c>
    </row>
    <row r="20" spans="1:5" ht="14.25" x14ac:dyDescent="0.2">
      <c r="A20" s="474" t="s">
        <v>88</v>
      </c>
      <c r="B20" s="462">
        <v>3041828810.7600002</v>
      </c>
      <c r="C20" s="1035">
        <f>B20/B31</f>
        <v>1.3115545892229821E-2</v>
      </c>
      <c r="D20" s="458"/>
      <c r="E20" s="467">
        <v>1625361419.6199999</v>
      </c>
    </row>
    <row r="21" spans="1:5" ht="14.25" x14ac:dyDescent="0.2">
      <c r="A21" s="474" t="s">
        <v>267</v>
      </c>
      <c r="B21" s="462">
        <v>138173872</v>
      </c>
      <c r="C21" s="1035">
        <f>B21/B31</f>
        <v>5.9576849062400225E-4</v>
      </c>
      <c r="D21" s="458"/>
      <c r="E21" s="467">
        <v>165513020.37</v>
      </c>
    </row>
    <row r="22" spans="1:5" ht="14.25" x14ac:dyDescent="0.2">
      <c r="A22" s="474" t="s">
        <v>385</v>
      </c>
      <c r="B22" s="462">
        <v>359151329.70999998</v>
      </c>
      <c r="C22" s="1035">
        <f>B22/B31</f>
        <v>1.5485637227198067E-3</v>
      </c>
      <c r="D22" s="458"/>
      <c r="E22" s="467">
        <v>148268251.31999999</v>
      </c>
    </row>
    <row r="23" spans="1:5" ht="14.25" x14ac:dyDescent="0.2">
      <c r="A23" s="485" t="s">
        <v>4111</v>
      </c>
      <c r="B23" s="462"/>
      <c r="C23" s="1035"/>
      <c r="D23" s="458"/>
      <c r="E23" s="462"/>
    </row>
    <row r="24" spans="1:5" ht="14.25" x14ac:dyDescent="0.2">
      <c r="A24" s="485" t="s">
        <v>4113</v>
      </c>
      <c r="B24" s="462">
        <v>146720438957.32999</v>
      </c>
      <c r="C24" s="1035">
        <f>B24/B31</f>
        <v>0.63261898357527058</v>
      </c>
      <c r="D24" s="466"/>
      <c r="E24" s="467">
        <v>136113476755.00999</v>
      </c>
    </row>
    <row r="25" spans="1:5" ht="14.25" x14ac:dyDescent="0.2">
      <c r="A25" s="485" t="s">
        <v>4112</v>
      </c>
      <c r="B25" s="462">
        <v>108133641.25</v>
      </c>
      <c r="C25" s="1035">
        <f>B25/B31</f>
        <v>4.6624311312047368E-4</v>
      </c>
      <c r="D25" s="466"/>
      <c r="E25" s="462">
        <v>0</v>
      </c>
    </row>
    <row r="26" spans="1:5" ht="14.25" x14ac:dyDescent="0.2">
      <c r="A26" s="474" t="s">
        <v>3434</v>
      </c>
      <c r="B26" s="462">
        <v>1222786997.47</v>
      </c>
      <c r="C26" s="1035">
        <f>B26/B31</f>
        <v>5.272327924901443E-3</v>
      </c>
      <c r="D26" s="458"/>
      <c r="E26" s="467">
        <v>874231486.59000003</v>
      </c>
    </row>
    <row r="27" spans="1:5" ht="14.25" x14ac:dyDescent="0.2">
      <c r="A27" s="474" t="s">
        <v>3435</v>
      </c>
      <c r="B27" s="462">
        <v>24158622.98</v>
      </c>
      <c r="C27" s="1035">
        <f>B27/B31</f>
        <v>1.0416547021530189E-4</v>
      </c>
      <c r="D27" s="458"/>
      <c r="E27" s="467">
        <v>49610717.049999997</v>
      </c>
    </row>
    <row r="28" spans="1:5" ht="14.25" x14ac:dyDescent="0.2">
      <c r="A28" s="474" t="s">
        <v>322</v>
      </c>
      <c r="B28" s="462">
        <v>78741171.760000005</v>
      </c>
      <c r="C28" s="1035">
        <f>B28/B31</f>
        <v>3.3951070756286334E-4</v>
      </c>
      <c r="D28" s="458"/>
      <c r="E28" s="467">
        <v>135017494.50999999</v>
      </c>
    </row>
    <row r="29" spans="1:5" ht="14.25" x14ac:dyDescent="0.2">
      <c r="A29" s="474" t="s">
        <v>188</v>
      </c>
      <c r="B29" s="464">
        <v>73961591031.179993</v>
      </c>
      <c r="C29" s="1035">
        <f>B29/B31</f>
        <v>0.31890244381944977</v>
      </c>
      <c r="D29" s="458"/>
      <c r="E29" s="465">
        <v>60358187140.010002</v>
      </c>
    </row>
    <row r="30" spans="1:5" ht="14.25" x14ac:dyDescent="0.2">
      <c r="A30" s="474"/>
      <c r="B30" s="457"/>
      <c r="C30" s="1036"/>
      <c r="D30" s="469"/>
      <c r="E30" s="468"/>
    </row>
    <row r="31" spans="1:5" ht="15.75" thickBot="1" x14ac:dyDescent="0.3">
      <c r="A31" s="484" t="s">
        <v>328</v>
      </c>
      <c r="B31" s="501">
        <f>SUM(B14:B29)</f>
        <v>231925444488.14001</v>
      </c>
      <c r="C31" s="473">
        <f>SUM(C14:C29)</f>
        <v>0.99999999999999978</v>
      </c>
      <c r="D31" s="460"/>
      <c r="E31" s="501">
        <f>SUM(E14:E29)</f>
        <v>206185257333.69</v>
      </c>
    </row>
    <row r="32" spans="1:5" ht="15" thickTop="1" x14ac:dyDescent="0.2">
      <c r="A32" s="474"/>
      <c r="B32" s="463"/>
      <c r="C32" s="472"/>
      <c r="D32" s="460"/>
      <c r="E32" s="468"/>
    </row>
    <row r="33" spans="1:5" ht="15" x14ac:dyDescent="0.25">
      <c r="A33" s="484" t="s">
        <v>3437</v>
      </c>
      <c r="B33" s="460"/>
      <c r="C33" s="472"/>
      <c r="D33" s="460"/>
      <c r="E33" s="470"/>
    </row>
    <row r="34" spans="1:5" ht="14.25" x14ac:dyDescent="0.2">
      <c r="A34" s="485" t="s">
        <v>268</v>
      </c>
      <c r="B34" s="460">
        <v>101345331615.13</v>
      </c>
      <c r="C34" s="472">
        <f>B34/B43</f>
        <v>0.6978232137969298</v>
      </c>
      <c r="D34" s="458"/>
      <c r="E34" s="459">
        <v>96581973289.699997</v>
      </c>
    </row>
    <row r="35" spans="1:5" ht="14.25" x14ac:dyDescent="0.2">
      <c r="A35" s="485" t="s">
        <v>17</v>
      </c>
      <c r="B35" s="460">
        <v>8123705869.4899998</v>
      </c>
      <c r="C35" s="472">
        <f>B35/B43</f>
        <v>5.5936572977202365E-2</v>
      </c>
      <c r="D35" s="458"/>
      <c r="E35" s="461">
        <v>7178529572.8699999</v>
      </c>
    </row>
    <row r="36" spans="1:5" ht="14.25" x14ac:dyDescent="0.2">
      <c r="A36" s="485" t="s">
        <v>18</v>
      </c>
      <c r="B36" s="460">
        <v>2412534718.8299999</v>
      </c>
      <c r="C36" s="472">
        <f>B36/B43</f>
        <v>1.6611744261531305E-2</v>
      </c>
      <c r="D36" s="458"/>
      <c r="E36" s="461">
        <v>2651324219.7600002</v>
      </c>
    </row>
    <row r="37" spans="1:5" ht="14.25" x14ac:dyDescent="0.2">
      <c r="A37" s="485" t="s">
        <v>269</v>
      </c>
      <c r="B37" s="460">
        <v>1188293945.1600001</v>
      </c>
      <c r="C37" s="472">
        <f>B37/B43</f>
        <v>8.1821144253198981E-3</v>
      </c>
      <c r="D37" s="458"/>
      <c r="E37" s="461">
        <v>1254029317.1199999</v>
      </c>
    </row>
    <row r="38" spans="1:5" ht="14.25" x14ac:dyDescent="0.2">
      <c r="A38" s="485" t="s">
        <v>270</v>
      </c>
      <c r="B38" s="460">
        <v>6456352.0999999996</v>
      </c>
      <c r="C38" s="472">
        <f>B38/B43</f>
        <v>4.4455845178308532E-5</v>
      </c>
      <c r="D38" s="458"/>
      <c r="E38" s="461">
        <v>5706699.2999999998</v>
      </c>
    </row>
    <row r="39" spans="1:5" ht="15" x14ac:dyDescent="0.2">
      <c r="A39" s="485" t="s">
        <v>3438</v>
      </c>
      <c r="B39" s="460">
        <v>10847673463.030001</v>
      </c>
      <c r="C39" s="472">
        <f>B39/B43</f>
        <v>7.4692718821408099E-2</v>
      </c>
      <c r="D39" s="458"/>
      <c r="E39" s="461">
        <v>8122259152.2799997</v>
      </c>
    </row>
    <row r="40" spans="1:5" ht="14.25" x14ac:dyDescent="0.2">
      <c r="A40" s="485" t="s">
        <v>271</v>
      </c>
      <c r="B40" s="460">
        <v>21120416456.540001</v>
      </c>
      <c r="C40" s="472">
        <f>B40/B43</f>
        <v>0.14542669754540524</v>
      </c>
      <c r="D40" s="458"/>
      <c r="E40" s="461">
        <v>18454064461.27</v>
      </c>
    </row>
    <row r="41" spans="1:5" ht="14.25" x14ac:dyDescent="0.2">
      <c r="A41" s="485" t="s">
        <v>272</v>
      </c>
      <c r="B41" s="471">
        <v>186255765.28999999</v>
      </c>
      <c r="C41" s="472">
        <f>B41/B43</f>
        <v>1.2824823270248245E-3</v>
      </c>
      <c r="D41" s="458"/>
      <c r="E41" s="465">
        <v>168697216.40000001</v>
      </c>
    </row>
    <row r="42" spans="1:5" ht="14.25" x14ac:dyDescent="0.2">
      <c r="A42" s="474"/>
      <c r="B42" s="463"/>
      <c r="C42" s="1036"/>
      <c r="D42" s="469"/>
      <c r="E42" s="468"/>
    </row>
    <row r="43" spans="1:5" ht="15.75" thickBot="1" x14ac:dyDescent="0.3">
      <c r="A43" s="484" t="s">
        <v>394</v>
      </c>
      <c r="B43" s="502">
        <f>SUM(B34:B42)</f>
        <v>145230668185.57004</v>
      </c>
      <c r="C43" s="473">
        <f>SUM(C34:C42)</f>
        <v>0.99999999999999978</v>
      </c>
      <c r="D43" s="460"/>
      <c r="E43" s="501">
        <f>SUM(E34:E42)</f>
        <v>134416583928.69998</v>
      </c>
    </row>
    <row r="44" spans="1:5" ht="15.75" thickTop="1" x14ac:dyDescent="0.25">
      <c r="A44" s="453"/>
      <c r="B44" s="463"/>
      <c r="C44" s="472"/>
      <c r="D44" s="460"/>
      <c r="E44" s="463"/>
    </row>
    <row r="45" spans="1:5" ht="33" customHeight="1" thickBot="1" x14ac:dyDescent="0.25">
      <c r="A45" s="484" t="s">
        <v>4193</v>
      </c>
      <c r="B45" s="1061">
        <f>SUM(B31-B43)</f>
        <v>86694776302.569977</v>
      </c>
      <c r="C45" s="1062"/>
      <c r="D45" s="1063"/>
      <c r="E45" s="1061">
        <f>+E31-E43</f>
        <v>71768673404.990021</v>
      </c>
    </row>
    <row r="46" spans="1:5" ht="15" thickTop="1" x14ac:dyDescent="0.2">
      <c r="A46" s="451"/>
      <c r="B46" s="463"/>
      <c r="C46" s="460"/>
      <c r="D46" s="460"/>
      <c r="E46" s="452"/>
    </row>
    <row r="47" spans="1:5" ht="12.75" x14ac:dyDescent="0.2">
      <c r="A47" s="486" t="s">
        <v>3436</v>
      </c>
      <c r="B47" s="273"/>
      <c r="C47" s="487"/>
      <c r="D47" s="1066"/>
      <c r="E47" s="1066"/>
    </row>
    <row r="48" spans="1:5" ht="12.75" x14ac:dyDescent="0.2">
      <c r="A48" s="486"/>
      <c r="B48" s="273"/>
      <c r="C48" s="487"/>
      <c r="D48" s="1021"/>
      <c r="E48" s="488"/>
    </row>
    <row r="49" spans="1:5" ht="33.75" customHeight="1" x14ac:dyDescent="0.2">
      <c r="A49" s="1066" t="s">
        <v>3439</v>
      </c>
      <c r="B49" s="1066"/>
      <c r="C49" s="1066"/>
      <c r="D49" s="1066"/>
      <c r="E49" s="1066"/>
    </row>
    <row r="50" spans="1:5" ht="12.75" x14ac:dyDescent="0.2">
      <c r="A50" s="489" t="s">
        <v>468</v>
      </c>
      <c r="B50" s="490"/>
      <c r="C50" s="491"/>
      <c r="D50" s="492"/>
      <c r="E50" s="488"/>
    </row>
    <row r="51" spans="1:5" ht="31.5" customHeight="1" x14ac:dyDescent="0.2">
      <c r="A51" s="1067" t="s">
        <v>3440</v>
      </c>
      <c r="B51" s="1067"/>
      <c r="C51" s="1067"/>
      <c r="D51" s="1067"/>
      <c r="E51" s="1067"/>
    </row>
    <row r="52" spans="1:5" ht="14.25" x14ac:dyDescent="0.2">
      <c r="A52" s="475"/>
      <c r="B52" s="475"/>
      <c r="C52" s="480"/>
      <c r="D52" s="452"/>
      <c r="E52" s="452"/>
    </row>
    <row r="53" spans="1:5" ht="14.25" x14ac:dyDescent="0.2">
      <c r="A53" s="476" t="s">
        <v>468</v>
      </c>
      <c r="B53" s="477"/>
      <c r="C53" s="481"/>
      <c r="D53" s="452"/>
      <c r="E53" s="452"/>
    </row>
    <row r="54" spans="1:5" ht="14.25" x14ac:dyDescent="0.2">
      <c r="A54" s="452"/>
      <c r="B54" s="452"/>
      <c r="C54" s="482"/>
      <c r="D54" s="452"/>
      <c r="E54" s="452"/>
    </row>
    <row r="55" spans="1:5" ht="14.25" x14ac:dyDescent="0.2">
      <c r="A55" s="452"/>
      <c r="B55" s="452"/>
      <c r="C55" s="482"/>
      <c r="D55" s="452"/>
      <c r="E55" s="452"/>
    </row>
    <row r="56" spans="1:5" ht="14.25" x14ac:dyDescent="0.2">
      <c r="A56" s="452"/>
      <c r="B56" s="452"/>
      <c r="C56" s="482"/>
      <c r="D56" s="452"/>
      <c r="E56" s="452"/>
    </row>
    <row r="57" spans="1:5" ht="14.25" x14ac:dyDescent="0.2">
      <c r="A57" s="452"/>
      <c r="B57" s="452"/>
      <c r="C57" s="482"/>
      <c r="D57" s="452"/>
      <c r="E57" s="452"/>
    </row>
    <row r="58" spans="1:5" ht="14.25" x14ac:dyDescent="0.2">
      <c r="A58" s="452"/>
      <c r="B58" s="452"/>
      <c r="C58" s="482"/>
      <c r="D58" s="452"/>
      <c r="E58" s="452"/>
    </row>
    <row r="59" spans="1:5" ht="14.25" x14ac:dyDescent="0.2">
      <c r="A59" s="452"/>
      <c r="B59" s="452"/>
      <c r="C59" s="482"/>
      <c r="D59" s="452"/>
      <c r="E59" s="452"/>
    </row>
    <row r="60" spans="1:5" ht="14.25" x14ac:dyDescent="0.2">
      <c r="A60" s="452"/>
      <c r="B60" s="452"/>
      <c r="C60" s="482"/>
      <c r="D60" s="452"/>
      <c r="E60" s="452"/>
    </row>
    <row r="61" spans="1:5" ht="14.25" x14ac:dyDescent="0.2">
      <c r="A61" s="452"/>
      <c r="B61" s="452"/>
      <c r="C61" s="482"/>
      <c r="D61" s="452"/>
      <c r="E61" s="452"/>
    </row>
    <row r="62" spans="1:5" ht="14.25" x14ac:dyDescent="0.2">
      <c r="A62" s="452"/>
      <c r="B62" s="452"/>
      <c r="C62" s="482"/>
      <c r="D62" s="452"/>
      <c r="E62" s="452"/>
    </row>
    <row r="63" spans="1:5" ht="14.25" x14ac:dyDescent="0.2">
      <c r="A63" s="452"/>
      <c r="B63" s="452"/>
      <c r="C63" s="482"/>
      <c r="D63" s="452"/>
      <c r="E63" s="452"/>
    </row>
    <row r="64" spans="1:5" ht="14.25" x14ac:dyDescent="0.2">
      <c r="A64" s="452"/>
      <c r="B64" s="452"/>
      <c r="C64" s="482"/>
      <c r="D64" s="452"/>
      <c r="E64" s="452"/>
    </row>
    <row r="65" spans="1:5" ht="14.25" x14ac:dyDescent="0.2">
      <c r="A65" s="452"/>
      <c r="B65" s="452"/>
      <c r="C65" s="482"/>
      <c r="D65" s="452"/>
      <c r="E65" s="452"/>
    </row>
    <row r="66" spans="1:5" ht="14.25" x14ac:dyDescent="0.2">
      <c r="A66" s="452"/>
      <c r="B66" s="452"/>
      <c r="C66" s="482"/>
      <c r="D66" s="452"/>
      <c r="E66" s="452"/>
    </row>
    <row r="67" spans="1:5" ht="14.25" x14ac:dyDescent="0.2">
      <c r="A67" s="452"/>
      <c r="B67" s="452"/>
      <c r="C67" s="482"/>
      <c r="D67" s="452"/>
      <c r="E67" s="452"/>
    </row>
    <row r="68" spans="1:5" ht="14.25" x14ac:dyDescent="0.2">
      <c r="A68" s="452"/>
      <c r="B68" s="452"/>
      <c r="C68" s="482"/>
      <c r="D68" s="452"/>
      <c r="E68" s="452"/>
    </row>
    <row r="69" spans="1:5" ht="14.25" x14ac:dyDescent="0.2">
      <c r="A69" s="452"/>
      <c r="B69" s="452"/>
      <c r="C69" s="482"/>
      <c r="D69" s="452"/>
      <c r="E69" s="452"/>
    </row>
    <row r="70" spans="1:5" ht="14.25" x14ac:dyDescent="0.2">
      <c r="A70" s="452"/>
      <c r="B70" s="452"/>
      <c r="C70" s="482"/>
      <c r="D70" s="452"/>
      <c r="E70" s="452"/>
    </row>
    <row r="71" spans="1:5" ht="14.25" x14ac:dyDescent="0.2">
      <c r="A71" s="452"/>
      <c r="B71" s="452"/>
      <c r="C71" s="482"/>
      <c r="D71" s="452"/>
      <c r="E71" s="452"/>
    </row>
    <row r="72" spans="1:5" ht="14.25" x14ac:dyDescent="0.2">
      <c r="A72" s="452"/>
      <c r="B72" s="452"/>
      <c r="C72" s="482"/>
      <c r="D72" s="452"/>
      <c r="E72" s="452"/>
    </row>
    <row r="73" spans="1:5" ht="14.25" x14ac:dyDescent="0.2">
      <c r="A73" s="452"/>
      <c r="B73" s="452"/>
      <c r="C73" s="482"/>
      <c r="D73" s="452"/>
      <c r="E73" s="452"/>
    </row>
    <row r="74" spans="1:5" ht="14.25" x14ac:dyDescent="0.2">
      <c r="A74" s="452"/>
      <c r="B74" s="452"/>
      <c r="C74" s="482"/>
      <c r="D74" s="452"/>
      <c r="E74" s="452"/>
    </row>
    <row r="75" spans="1:5" ht="14.25" x14ac:dyDescent="0.2">
      <c r="A75" s="452"/>
      <c r="B75" s="452"/>
      <c r="C75" s="482"/>
      <c r="D75" s="452"/>
      <c r="E75" s="452"/>
    </row>
    <row r="76" spans="1:5" ht="14.25" x14ac:dyDescent="0.2">
      <c r="A76" s="452"/>
      <c r="B76" s="452"/>
      <c r="C76" s="482"/>
      <c r="D76" s="452"/>
      <c r="E76" s="452"/>
    </row>
    <row r="77" spans="1:5" ht="14.25" x14ac:dyDescent="0.2">
      <c r="A77" s="452"/>
      <c r="B77" s="452"/>
      <c r="C77" s="482"/>
      <c r="D77" s="452"/>
      <c r="E77" s="452"/>
    </row>
    <row r="78" spans="1:5" ht="14.25" x14ac:dyDescent="0.2">
      <c r="A78" s="452"/>
      <c r="B78" s="452"/>
      <c r="C78" s="482"/>
      <c r="D78" s="452"/>
      <c r="E78" s="452"/>
    </row>
    <row r="79" spans="1:5" ht="14.25" x14ac:dyDescent="0.2">
      <c r="A79" s="452"/>
      <c r="B79" s="452"/>
      <c r="C79" s="482"/>
      <c r="D79" s="452"/>
      <c r="E79" s="452"/>
    </row>
    <row r="80" spans="1:5" ht="14.25" x14ac:dyDescent="0.2">
      <c r="A80" s="452"/>
      <c r="B80" s="452"/>
      <c r="C80" s="482"/>
      <c r="D80" s="452"/>
      <c r="E80" s="452"/>
    </row>
    <row r="81" spans="1:5" ht="14.25" x14ac:dyDescent="0.2">
      <c r="A81" s="452"/>
      <c r="B81" s="452"/>
      <c r="C81" s="482"/>
      <c r="D81" s="452"/>
      <c r="E81" s="452"/>
    </row>
    <row r="82" spans="1:5" ht="14.25" x14ac:dyDescent="0.2">
      <c r="A82" s="452"/>
      <c r="B82" s="452"/>
      <c r="C82" s="482"/>
      <c r="D82" s="452"/>
      <c r="E82" s="452"/>
    </row>
    <row r="83" spans="1:5" ht="14.25" x14ac:dyDescent="0.2">
      <c r="A83" s="452"/>
      <c r="B83" s="452"/>
      <c r="C83" s="482"/>
      <c r="D83" s="452"/>
      <c r="E83" s="452"/>
    </row>
    <row r="84" spans="1:5" ht="14.25" x14ac:dyDescent="0.2">
      <c r="A84" s="452"/>
      <c r="B84" s="452"/>
      <c r="C84" s="482"/>
      <c r="D84" s="452"/>
      <c r="E84" s="452"/>
    </row>
    <row r="85" spans="1:5" ht="14.25" x14ac:dyDescent="0.2">
      <c r="A85" s="452"/>
      <c r="B85" s="452"/>
      <c r="C85" s="482"/>
      <c r="D85" s="452"/>
      <c r="E85" s="452"/>
    </row>
    <row r="86" spans="1:5" ht="14.25" x14ac:dyDescent="0.2">
      <c r="A86" s="452"/>
      <c r="B86" s="452"/>
      <c r="C86" s="482"/>
      <c r="D86" s="452"/>
      <c r="E86" s="452"/>
    </row>
    <row r="87" spans="1:5" ht="14.25" x14ac:dyDescent="0.2">
      <c r="A87" s="452"/>
      <c r="B87" s="452"/>
      <c r="C87" s="482"/>
      <c r="D87" s="452"/>
      <c r="E87" s="452"/>
    </row>
    <row r="88" spans="1:5" ht="14.25" x14ac:dyDescent="0.2">
      <c r="A88" s="452"/>
      <c r="B88" s="452"/>
      <c r="C88" s="482"/>
      <c r="D88" s="452"/>
      <c r="E88" s="452"/>
    </row>
    <row r="89" spans="1:5" ht="14.25" x14ac:dyDescent="0.2">
      <c r="A89" s="452"/>
      <c r="B89" s="452"/>
      <c r="C89" s="482"/>
      <c r="D89" s="452"/>
      <c r="E89" s="452"/>
    </row>
    <row r="90" spans="1:5" ht="14.25" x14ac:dyDescent="0.2">
      <c r="A90" s="452"/>
      <c r="B90" s="452"/>
      <c r="C90" s="482"/>
      <c r="D90" s="452"/>
      <c r="E90" s="452"/>
    </row>
    <row r="91" spans="1:5" ht="14.25" x14ac:dyDescent="0.2">
      <c r="A91" s="452"/>
      <c r="B91" s="452"/>
      <c r="C91" s="482"/>
      <c r="D91" s="452"/>
      <c r="E91" s="452"/>
    </row>
    <row r="92" spans="1:5" ht="14.25" x14ac:dyDescent="0.2">
      <c r="A92" s="452"/>
      <c r="B92" s="452"/>
      <c r="C92" s="482"/>
      <c r="D92" s="452"/>
      <c r="E92" s="452"/>
    </row>
    <row r="93" spans="1:5" ht="14.25" x14ac:dyDescent="0.2">
      <c r="A93" s="452"/>
      <c r="B93" s="452"/>
      <c r="C93" s="482"/>
      <c r="D93" s="452"/>
      <c r="E93" s="452"/>
    </row>
    <row r="94" spans="1:5" ht="14.25" x14ac:dyDescent="0.2">
      <c r="A94" s="452"/>
      <c r="B94" s="452"/>
      <c r="C94" s="482"/>
      <c r="D94" s="452"/>
      <c r="E94" s="452"/>
    </row>
    <row r="95" spans="1:5" ht="14.25" x14ac:dyDescent="0.2">
      <c r="A95" s="452"/>
      <c r="B95" s="452"/>
      <c r="C95" s="482"/>
      <c r="D95" s="452"/>
      <c r="E95" s="452"/>
    </row>
    <row r="96" spans="1:5" ht="14.25" x14ac:dyDescent="0.2">
      <c r="A96" s="452"/>
      <c r="B96" s="452"/>
      <c r="C96" s="482"/>
      <c r="D96" s="452"/>
      <c r="E96" s="452"/>
    </row>
    <row r="97" spans="1:5" ht="14.25" x14ac:dyDescent="0.2">
      <c r="A97" s="452"/>
      <c r="B97" s="452"/>
      <c r="C97" s="482"/>
      <c r="D97" s="452"/>
      <c r="E97" s="452"/>
    </row>
    <row r="98" spans="1:5" ht="14.25" x14ac:dyDescent="0.2">
      <c r="A98" s="452"/>
      <c r="B98" s="452"/>
      <c r="C98" s="482"/>
      <c r="D98" s="452"/>
      <c r="E98" s="452"/>
    </row>
    <row r="99" spans="1:5" ht="14.25" x14ac:dyDescent="0.2">
      <c r="A99" s="452"/>
      <c r="B99" s="452"/>
      <c r="C99" s="482"/>
      <c r="D99" s="452"/>
      <c r="E99" s="452"/>
    </row>
    <row r="100" spans="1:5" ht="14.25" x14ac:dyDescent="0.2">
      <c r="A100" s="452"/>
      <c r="B100" s="452"/>
      <c r="C100" s="482"/>
      <c r="D100" s="452"/>
      <c r="E100" s="452"/>
    </row>
    <row r="101" spans="1:5" ht="14.25" x14ac:dyDescent="0.2">
      <c r="A101" s="452"/>
      <c r="B101" s="452"/>
      <c r="C101" s="482"/>
      <c r="D101" s="452"/>
      <c r="E101" s="452"/>
    </row>
    <row r="102" spans="1:5" ht="14.25" x14ac:dyDescent="0.2">
      <c r="A102" s="452"/>
      <c r="B102" s="452"/>
      <c r="C102" s="482"/>
      <c r="D102" s="452"/>
      <c r="E102" s="452"/>
    </row>
    <row r="103" spans="1:5" ht="14.25" x14ac:dyDescent="0.2">
      <c r="A103" s="452"/>
      <c r="B103" s="452"/>
      <c r="C103" s="482"/>
      <c r="D103" s="452"/>
      <c r="E103" s="452"/>
    </row>
    <row r="104" spans="1:5" ht="14.25" x14ac:dyDescent="0.2">
      <c r="A104" s="452"/>
      <c r="B104" s="452"/>
      <c r="C104" s="482"/>
      <c r="D104" s="452"/>
      <c r="E104" s="452"/>
    </row>
    <row r="105" spans="1:5" ht="14.25" x14ac:dyDescent="0.2">
      <c r="A105" s="452"/>
      <c r="B105" s="452"/>
      <c r="C105" s="482"/>
      <c r="D105" s="452"/>
      <c r="E105" s="452"/>
    </row>
    <row r="106" spans="1:5" ht="14.25" x14ac:dyDescent="0.2">
      <c r="A106" s="452"/>
      <c r="B106" s="452"/>
      <c r="C106" s="482"/>
      <c r="D106" s="452"/>
      <c r="E106" s="452"/>
    </row>
    <row r="107" spans="1:5" ht="14.25" x14ac:dyDescent="0.2">
      <c r="A107" s="452"/>
      <c r="B107" s="452"/>
      <c r="C107" s="482"/>
      <c r="D107" s="452"/>
      <c r="E107" s="452"/>
    </row>
    <row r="108" spans="1:5" ht="14.25" x14ac:dyDescent="0.2">
      <c r="A108" s="452"/>
      <c r="B108" s="452"/>
      <c r="C108" s="482"/>
      <c r="D108" s="452"/>
      <c r="E108" s="452"/>
    </row>
  </sheetData>
  <mergeCells count="11">
    <mergeCell ref="A1:F1"/>
    <mergeCell ref="A2:F2"/>
    <mergeCell ref="A3:F3"/>
    <mergeCell ref="A5:F5"/>
    <mergeCell ref="A7:F7"/>
    <mergeCell ref="A6:E6"/>
    <mergeCell ref="B10:C10"/>
    <mergeCell ref="D47:E47"/>
    <mergeCell ref="A49:E49"/>
    <mergeCell ref="A51:E51"/>
    <mergeCell ref="A8:F8"/>
  </mergeCells>
  <phoneticPr fontId="0" type="noConversion"/>
  <pageMargins left="1.2204724409448819" right="0.27559055118110237" top="1.2204724409448819" bottom="0.74803149606299213" header="0.74803149606299213" footer="0.82677165354330717"/>
  <pageSetup paperSize="9" scale="75" firstPageNumber="8" orientation="portrait" r:id="rId1"/>
  <headerFooter alignWithMargins="0">
    <oddHeader xml:space="preserve">&amp;R&amp;"Arial,Negrita"
</oddHeader>
    <oddFooter>&amp;C&amp;11&amp;P</oddFooter>
  </headerFooter>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1098"/>
  <sheetViews>
    <sheetView workbookViewId="0">
      <selection activeCell="D31" sqref="D31"/>
    </sheetView>
  </sheetViews>
  <sheetFormatPr baseColWidth="10" defaultRowHeight="12.75" x14ac:dyDescent="0.2"/>
  <cols>
    <col min="1" max="1" width="0.7109375" style="273" customWidth="1"/>
    <col min="2" max="2" width="8.85546875" style="274" bestFit="1" customWidth="1"/>
    <col min="3" max="3" width="17.7109375" style="826" customWidth="1"/>
    <col min="4" max="4" width="61.28515625" style="273" bestFit="1" customWidth="1"/>
    <col min="5" max="5" width="21.5703125" style="768" bestFit="1" customWidth="1"/>
    <col min="6" max="6" width="20" style="768" customWidth="1"/>
    <col min="7" max="7" width="21.140625" style="768" customWidth="1"/>
    <col min="8" max="8" width="20.85546875" style="768" customWidth="1"/>
    <col min="9" max="9" width="20.140625" style="768" customWidth="1"/>
    <col min="10" max="256" width="11.42578125" style="273"/>
    <col min="257" max="257" width="0.7109375" style="273" customWidth="1"/>
    <col min="258" max="258" width="8.85546875" style="273" bestFit="1" customWidth="1"/>
    <col min="259" max="259" width="17.7109375" style="273" customWidth="1"/>
    <col min="260" max="260" width="61.28515625" style="273" bestFit="1" customWidth="1"/>
    <col min="261" max="261" width="21.5703125" style="273" bestFit="1" customWidth="1"/>
    <col min="262" max="262" width="20" style="273" customWidth="1"/>
    <col min="263" max="263" width="21.140625" style="273" customWidth="1"/>
    <col min="264" max="264" width="20.85546875" style="273" customWidth="1"/>
    <col min="265" max="265" width="20.140625" style="273" customWidth="1"/>
    <col min="266" max="512" width="11.42578125" style="273"/>
    <col min="513" max="513" width="0.7109375" style="273" customWidth="1"/>
    <col min="514" max="514" width="8.85546875" style="273" bestFit="1" customWidth="1"/>
    <col min="515" max="515" width="17.7109375" style="273" customWidth="1"/>
    <col min="516" max="516" width="61.28515625" style="273" bestFit="1" customWidth="1"/>
    <col min="517" max="517" width="21.5703125" style="273" bestFit="1" customWidth="1"/>
    <col min="518" max="518" width="20" style="273" customWidth="1"/>
    <col min="519" max="519" width="21.140625" style="273" customWidth="1"/>
    <col min="520" max="520" width="20.85546875" style="273" customWidth="1"/>
    <col min="521" max="521" width="20.140625" style="273" customWidth="1"/>
    <col min="522" max="768" width="11.42578125" style="273"/>
    <col min="769" max="769" width="0.7109375" style="273" customWidth="1"/>
    <col min="770" max="770" width="8.85546875" style="273" bestFit="1" customWidth="1"/>
    <col min="771" max="771" width="17.7109375" style="273" customWidth="1"/>
    <col min="772" max="772" width="61.28515625" style="273" bestFit="1" customWidth="1"/>
    <col min="773" max="773" width="21.5703125" style="273" bestFit="1" customWidth="1"/>
    <col min="774" max="774" width="20" style="273" customWidth="1"/>
    <col min="775" max="775" width="21.140625" style="273" customWidth="1"/>
    <col min="776" max="776" width="20.85546875" style="273" customWidth="1"/>
    <col min="777" max="777" width="20.140625" style="273" customWidth="1"/>
    <col min="778" max="1024" width="11.42578125" style="273"/>
    <col min="1025" max="1025" width="0.7109375" style="273" customWidth="1"/>
    <col min="1026" max="1026" width="8.85546875" style="273" bestFit="1" customWidth="1"/>
    <col min="1027" max="1027" width="17.7109375" style="273" customWidth="1"/>
    <col min="1028" max="1028" width="61.28515625" style="273" bestFit="1" customWidth="1"/>
    <col min="1029" max="1029" width="21.5703125" style="273" bestFit="1" customWidth="1"/>
    <col min="1030" max="1030" width="20" style="273" customWidth="1"/>
    <col min="1031" max="1031" width="21.140625" style="273" customWidth="1"/>
    <col min="1032" max="1032" width="20.85546875" style="273" customWidth="1"/>
    <col min="1033" max="1033" width="20.140625" style="273" customWidth="1"/>
    <col min="1034" max="1280" width="11.42578125" style="273"/>
    <col min="1281" max="1281" width="0.7109375" style="273" customWidth="1"/>
    <col min="1282" max="1282" width="8.85546875" style="273" bestFit="1" customWidth="1"/>
    <col min="1283" max="1283" width="17.7109375" style="273" customWidth="1"/>
    <col min="1284" max="1284" width="61.28515625" style="273" bestFit="1" customWidth="1"/>
    <col min="1285" max="1285" width="21.5703125" style="273" bestFit="1" customWidth="1"/>
    <col min="1286" max="1286" width="20" style="273" customWidth="1"/>
    <col min="1287" max="1287" width="21.140625" style="273" customWidth="1"/>
    <col min="1288" max="1288" width="20.85546875" style="273" customWidth="1"/>
    <col min="1289" max="1289" width="20.140625" style="273" customWidth="1"/>
    <col min="1290" max="1536" width="11.42578125" style="273"/>
    <col min="1537" max="1537" width="0.7109375" style="273" customWidth="1"/>
    <col min="1538" max="1538" width="8.85546875" style="273" bestFit="1" customWidth="1"/>
    <col min="1539" max="1539" width="17.7109375" style="273" customWidth="1"/>
    <col min="1540" max="1540" width="61.28515625" style="273" bestFit="1" customWidth="1"/>
    <col min="1541" max="1541" width="21.5703125" style="273" bestFit="1" customWidth="1"/>
    <col min="1542" max="1542" width="20" style="273" customWidth="1"/>
    <col min="1543" max="1543" width="21.140625" style="273" customWidth="1"/>
    <col min="1544" max="1544" width="20.85546875" style="273" customWidth="1"/>
    <col min="1545" max="1545" width="20.140625" style="273" customWidth="1"/>
    <col min="1546" max="1792" width="11.42578125" style="273"/>
    <col min="1793" max="1793" width="0.7109375" style="273" customWidth="1"/>
    <col min="1794" max="1794" width="8.85546875" style="273" bestFit="1" customWidth="1"/>
    <col min="1795" max="1795" width="17.7109375" style="273" customWidth="1"/>
    <col min="1796" max="1796" width="61.28515625" style="273" bestFit="1" customWidth="1"/>
    <col min="1797" max="1797" width="21.5703125" style="273" bestFit="1" customWidth="1"/>
    <col min="1798" max="1798" width="20" style="273" customWidth="1"/>
    <col min="1799" max="1799" width="21.140625" style="273" customWidth="1"/>
    <col min="1800" max="1800" width="20.85546875" style="273" customWidth="1"/>
    <col min="1801" max="1801" width="20.140625" style="273" customWidth="1"/>
    <col min="1802" max="2048" width="11.42578125" style="273"/>
    <col min="2049" max="2049" width="0.7109375" style="273" customWidth="1"/>
    <col min="2050" max="2050" width="8.85546875" style="273" bestFit="1" customWidth="1"/>
    <col min="2051" max="2051" width="17.7109375" style="273" customWidth="1"/>
    <col min="2052" max="2052" width="61.28515625" style="273" bestFit="1" customWidth="1"/>
    <col min="2053" max="2053" width="21.5703125" style="273" bestFit="1" customWidth="1"/>
    <col min="2054" max="2054" width="20" style="273" customWidth="1"/>
    <col min="2055" max="2055" width="21.140625" style="273" customWidth="1"/>
    <col min="2056" max="2056" width="20.85546875" style="273" customWidth="1"/>
    <col min="2057" max="2057" width="20.140625" style="273" customWidth="1"/>
    <col min="2058" max="2304" width="11.42578125" style="273"/>
    <col min="2305" max="2305" width="0.7109375" style="273" customWidth="1"/>
    <col min="2306" max="2306" width="8.85546875" style="273" bestFit="1" customWidth="1"/>
    <col min="2307" max="2307" width="17.7109375" style="273" customWidth="1"/>
    <col min="2308" max="2308" width="61.28515625" style="273" bestFit="1" customWidth="1"/>
    <col min="2309" max="2309" width="21.5703125" style="273" bestFit="1" customWidth="1"/>
    <col min="2310" max="2310" width="20" style="273" customWidth="1"/>
    <col min="2311" max="2311" width="21.140625" style="273" customWidth="1"/>
    <col min="2312" max="2312" width="20.85546875" style="273" customWidth="1"/>
    <col min="2313" max="2313" width="20.140625" style="273" customWidth="1"/>
    <col min="2314" max="2560" width="11.42578125" style="273"/>
    <col min="2561" max="2561" width="0.7109375" style="273" customWidth="1"/>
    <col min="2562" max="2562" width="8.85546875" style="273" bestFit="1" customWidth="1"/>
    <col min="2563" max="2563" width="17.7109375" style="273" customWidth="1"/>
    <col min="2564" max="2564" width="61.28515625" style="273" bestFit="1" customWidth="1"/>
    <col min="2565" max="2565" width="21.5703125" style="273" bestFit="1" customWidth="1"/>
    <col min="2566" max="2566" width="20" style="273" customWidth="1"/>
    <col min="2567" max="2567" width="21.140625" style="273" customWidth="1"/>
    <col min="2568" max="2568" width="20.85546875" style="273" customWidth="1"/>
    <col min="2569" max="2569" width="20.140625" style="273" customWidth="1"/>
    <col min="2570" max="2816" width="11.42578125" style="273"/>
    <col min="2817" max="2817" width="0.7109375" style="273" customWidth="1"/>
    <col min="2818" max="2818" width="8.85546875" style="273" bestFit="1" customWidth="1"/>
    <col min="2819" max="2819" width="17.7109375" style="273" customWidth="1"/>
    <col min="2820" max="2820" width="61.28515625" style="273" bestFit="1" customWidth="1"/>
    <col min="2821" max="2821" width="21.5703125" style="273" bestFit="1" customWidth="1"/>
    <col min="2822" max="2822" width="20" style="273" customWidth="1"/>
    <col min="2823" max="2823" width="21.140625" style="273" customWidth="1"/>
    <col min="2824" max="2824" width="20.85546875" style="273" customWidth="1"/>
    <col min="2825" max="2825" width="20.140625" style="273" customWidth="1"/>
    <col min="2826" max="3072" width="11.42578125" style="273"/>
    <col min="3073" max="3073" width="0.7109375" style="273" customWidth="1"/>
    <col min="3074" max="3074" width="8.85546875" style="273" bestFit="1" customWidth="1"/>
    <col min="3075" max="3075" width="17.7109375" style="273" customWidth="1"/>
    <col min="3076" max="3076" width="61.28515625" style="273" bestFit="1" customWidth="1"/>
    <col min="3077" max="3077" width="21.5703125" style="273" bestFit="1" customWidth="1"/>
    <col min="3078" max="3078" width="20" style="273" customWidth="1"/>
    <col min="3079" max="3079" width="21.140625" style="273" customWidth="1"/>
    <col min="3080" max="3080" width="20.85546875" style="273" customWidth="1"/>
    <col min="3081" max="3081" width="20.140625" style="273" customWidth="1"/>
    <col min="3082" max="3328" width="11.42578125" style="273"/>
    <col min="3329" max="3329" width="0.7109375" style="273" customWidth="1"/>
    <col min="3330" max="3330" width="8.85546875" style="273" bestFit="1" customWidth="1"/>
    <col min="3331" max="3331" width="17.7109375" style="273" customWidth="1"/>
    <col min="3332" max="3332" width="61.28515625" style="273" bestFit="1" customWidth="1"/>
    <col min="3333" max="3333" width="21.5703125" style="273" bestFit="1" customWidth="1"/>
    <col min="3334" max="3334" width="20" style="273" customWidth="1"/>
    <col min="3335" max="3335" width="21.140625" style="273" customWidth="1"/>
    <col min="3336" max="3336" width="20.85546875" style="273" customWidth="1"/>
    <col min="3337" max="3337" width="20.140625" style="273" customWidth="1"/>
    <col min="3338" max="3584" width="11.42578125" style="273"/>
    <col min="3585" max="3585" width="0.7109375" style="273" customWidth="1"/>
    <col min="3586" max="3586" width="8.85546875" style="273" bestFit="1" customWidth="1"/>
    <col min="3587" max="3587" width="17.7109375" style="273" customWidth="1"/>
    <col min="3588" max="3588" width="61.28515625" style="273" bestFit="1" customWidth="1"/>
    <col min="3589" max="3589" width="21.5703125" style="273" bestFit="1" customWidth="1"/>
    <col min="3590" max="3590" width="20" style="273" customWidth="1"/>
    <col min="3591" max="3591" width="21.140625" style="273" customWidth="1"/>
    <col min="3592" max="3592" width="20.85546875" style="273" customWidth="1"/>
    <col min="3593" max="3593" width="20.140625" style="273" customWidth="1"/>
    <col min="3594" max="3840" width="11.42578125" style="273"/>
    <col min="3841" max="3841" width="0.7109375" style="273" customWidth="1"/>
    <col min="3842" max="3842" width="8.85546875" style="273" bestFit="1" customWidth="1"/>
    <col min="3843" max="3843" width="17.7109375" style="273" customWidth="1"/>
    <col min="3844" max="3844" width="61.28515625" style="273" bestFit="1" customWidth="1"/>
    <col min="3845" max="3845" width="21.5703125" style="273" bestFit="1" customWidth="1"/>
    <col min="3846" max="3846" width="20" style="273" customWidth="1"/>
    <col min="3847" max="3847" width="21.140625" style="273" customWidth="1"/>
    <col min="3848" max="3848" width="20.85546875" style="273" customWidth="1"/>
    <col min="3849" max="3849" width="20.140625" style="273" customWidth="1"/>
    <col min="3850" max="4096" width="11.42578125" style="273"/>
    <col min="4097" max="4097" width="0.7109375" style="273" customWidth="1"/>
    <col min="4098" max="4098" width="8.85546875" style="273" bestFit="1" customWidth="1"/>
    <col min="4099" max="4099" width="17.7109375" style="273" customWidth="1"/>
    <col min="4100" max="4100" width="61.28515625" style="273" bestFit="1" customWidth="1"/>
    <col min="4101" max="4101" width="21.5703125" style="273" bestFit="1" customWidth="1"/>
    <col min="4102" max="4102" width="20" style="273" customWidth="1"/>
    <col min="4103" max="4103" width="21.140625" style="273" customWidth="1"/>
    <col min="4104" max="4104" width="20.85546875" style="273" customWidth="1"/>
    <col min="4105" max="4105" width="20.140625" style="273" customWidth="1"/>
    <col min="4106" max="4352" width="11.42578125" style="273"/>
    <col min="4353" max="4353" width="0.7109375" style="273" customWidth="1"/>
    <col min="4354" max="4354" width="8.85546875" style="273" bestFit="1" customWidth="1"/>
    <col min="4355" max="4355" width="17.7109375" style="273" customWidth="1"/>
    <col min="4356" max="4356" width="61.28515625" style="273" bestFit="1" customWidth="1"/>
    <col min="4357" max="4357" width="21.5703125" style="273" bestFit="1" customWidth="1"/>
    <col min="4358" max="4358" width="20" style="273" customWidth="1"/>
    <col min="4359" max="4359" width="21.140625" style="273" customWidth="1"/>
    <col min="4360" max="4360" width="20.85546875" style="273" customWidth="1"/>
    <col min="4361" max="4361" width="20.140625" style="273" customWidth="1"/>
    <col min="4362" max="4608" width="11.42578125" style="273"/>
    <col min="4609" max="4609" width="0.7109375" style="273" customWidth="1"/>
    <col min="4610" max="4610" width="8.85546875" style="273" bestFit="1" customWidth="1"/>
    <col min="4611" max="4611" width="17.7109375" style="273" customWidth="1"/>
    <col min="4612" max="4612" width="61.28515625" style="273" bestFit="1" customWidth="1"/>
    <col min="4613" max="4613" width="21.5703125" style="273" bestFit="1" customWidth="1"/>
    <col min="4614" max="4614" width="20" style="273" customWidth="1"/>
    <col min="4615" max="4615" width="21.140625" style="273" customWidth="1"/>
    <col min="4616" max="4616" width="20.85546875" style="273" customWidth="1"/>
    <col min="4617" max="4617" width="20.140625" style="273" customWidth="1"/>
    <col min="4618" max="4864" width="11.42578125" style="273"/>
    <col min="4865" max="4865" width="0.7109375" style="273" customWidth="1"/>
    <col min="4866" max="4866" width="8.85546875" style="273" bestFit="1" customWidth="1"/>
    <col min="4867" max="4867" width="17.7109375" style="273" customWidth="1"/>
    <col min="4868" max="4868" width="61.28515625" style="273" bestFit="1" customWidth="1"/>
    <col min="4869" max="4869" width="21.5703125" style="273" bestFit="1" customWidth="1"/>
    <col min="4870" max="4870" width="20" style="273" customWidth="1"/>
    <col min="4871" max="4871" width="21.140625" style="273" customWidth="1"/>
    <col min="4872" max="4872" width="20.85546875" style="273" customWidth="1"/>
    <col min="4873" max="4873" width="20.140625" style="273" customWidth="1"/>
    <col min="4874" max="5120" width="11.42578125" style="273"/>
    <col min="5121" max="5121" width="0.7109375" style="273" customWidth="1"/>
    <col min="5122" max="5122" width="8.85546875" style="273" bestFit="1" customWidth="1"/>
    <col min="5123" max="5123" width="17.7109375" style="273" customWidth="1"/>
    <col min="5124" max="5124" width="61.28515625" style="273" bestFit="1" customWidth="1"/>
    <col min="5125" max="5125" width="21.5703125" style="273" bestFit="1" customWidth="1"/>
    <col min="5126" max="5126" width="20" style="273" customWidth="1"/>
    <col min="5127" max="5127" width="21.140625" style="273" customWidth="1"/>
    <col min="5128" max="5128" width="20.85546875" style="273" customWidth="1"/>
    <col min="5129" max="5129" width="20.140625" style="273" customWidth="1"/>
    <col min="5130" max="5376" width="11.42578125" style="273"/>
    <col min="5377" max="5377" width="0.7109375" style="273" customWidth="1"/>
    <col min="5378" max="5378" width="8.85546875" style="273" bestFit="1" customWidth="1"/>
    <col min="5379" max="5379" width="17.7109375" style="273" customWidth="1"/>
    <col min="5380" max="5380" width="61.28515625" style="273" bestFit="1" customWidth="1"/>
    <col min="5381" max="5381" width="21.5703125" style="273" bestFit="1" customWidth="1"/>
    <col min="5382" max="5382" width="20" style="273" customWidth="1"/>
    <col min="5383" max="5383" width="21.140625" style="273" customWidth="1"/>
    <col min="5384" max="5384" width="20.85546875" style="273" customWidth="1"/>
    <col min="5385" max="5385" width="20.140625" style="273" customWidth="1"/>
    <col min="5386" max="5632" width="11.42578125" style="273"/>
    <col min="5633" max="5633" width="0.7109375" style="273" customWidth="1"/>
    <col min="5634" max="5634" width="8.85546875" style="273" bestFit="1" customWidth="1"/>
    <col min="5635" max="5635" width="17.7109375" style="273" customWidth="1"/>
    <col min="5636" max="5636" width="61.28515625" style="273" bestFit="1" customWidth="1"/>
    <col min="5637" max="5637" width="21.5703125" style="273" bestFit="1" customWidth="1"/>
    <col min="5638" max="5638" width="20" style="273" customWidth="1"/>
    <col min="5639" max="5639" width="21.140625" style="273" customWidth="1"/>
    <col min="5640" max="5640" width="20.85546875" style="273" customWidth="1"/>
    <col min="5641" max="5641" width="20.140625" style="273" customWidth="1"/>
    <col min="5642" max="5888" width="11.42578125" style="273"/>
    <col min="5889" max="5889" width="0.7109375" style="273" customWidth="1"/>
    <col min="5890" max="5890" width="8.85546875" style="273" bestFit="1" customWidth="1"/>
    <col min="5891" max="5891" width="17.7109375" style="273" customWidth="1"/>
    <col min="5892" max="5892" width="61.28515625" style="273" bestFit="1" customWidth="1"/>
    <col min="5893" max="5893" width="21.5703125" style="273" bestFit="1" customWidth="1"/>
    <col min="5894" max="5894" width="20" style="273" customWidth="1"/>
    <col min="5895" max="5895" width="21.140625" style="273" customWidth="1"/>
    <col min="5896" max="5896" width="20.85546875" style="273" customWidth="1"/>
    <col min="5897" max="5897" width="20.140625" style="273" customWidth="1"/>
    <col min="5898" max="6144" width="11.42578125" style="273"/>
    <col min="6145" max="6145" width="0.7109375" style="273" customWidth="1"/>
    <col min="6146" max="6146" width="8.85546875" style="273" bestFit="1" customWidth="1"/>
    <col min="6147" max="6147" width="17.7109375" style="273" customWidth="1"/>
    <col min="6148" max="6148" width="61.28515625" style="273" bestFit="1" customWidth="1"/>
    <col min="6149" max="6149" width="21.5703125" style="273" bestFit="1" customWidth="1"/>
    <col min="6150" max="6150" width="20" style="273" customWidth="1"/>
    <col min="6151" max="6151" width="21.140625" style="273" customWidth="1"/>
    <col min="6152" max="6152" width="20.85546875" style="273" customWidth="1"/>
    <col min="6153" max="6153" width="20.140625" style="273" customWidth="1"/>
    <col min="6154" max="6400" width="11.42578125" style="273"/>
    <col min="6401" max="6401" width="0.7109375" style="273" customWidth="1"/>
    <col min="6402" max="6402" width="8.85546875" style="273" bestFit="1" customWidth="1"/>
    <col min="6403" max="6403" width="17.7109375" style="273" customWidth="1"/>
    <col min="6404" max="6404" width="61.28515625" style="273" bestFit="1" customWidth="1"/>
    <col min="6405" max="6405" width="21.5703125" style="273" bestFit="1" customWidth="1"/>
    <col min="6406" max="6406" width="20" style="273" customWidth="1"/>
    <col min="6407" max="6407" width="21.140625" style="273" customWidth="1"/>
    <col min="6408" max="6408" width="20.85546875" style="273" customWidth="1"/>
    <col min="6409" max="6409" width="20.140625" style="273" customWidth="1"/>
    <col min="6410" max="6656" width="11.42578125" style="273"/>
    <col min="6657" max="6657" width="0.7109375" style="273" customWidth="1"/>
    <col min="6658" max="6658" width="8.85546875" style="273" bestFit="1" customWidth="1"/>
    <col min="6659" max="6659" width="17.7109375" style="273" customWidth="1"/>
    <col min="6660" max="6660" width="61.28515625" style="273" bestFit="1" customWidth="1"/>
    <col min="6661" max="6661" width="21.5703125" style="273" bestFit="1" customWidth="1"/>
    <col min="6662" max="6662" width="20" style="273" customWidth="1"/>
    <col min="6663" max="6663" width="21.140625" style="273" customWidth="1"/>
    <col min="6664" max="6664" width="20.85546875" style="273" customWidth="1"/>
    <col min="6665" max="6665" width="20.140625" style="273" customWidth="1"/>
    <col min="6666" max="6912" width="11.42578125" style="273"/>
    <col min="6913" max="6913" width="0.7109375" style="273" customWidth="1"/>
    <col min="6914" max="6914" width="8.85546875" style="273" bestFit="1" customWidth="1"/>
    <col min="6915" max="6915" width="17.7109375" style="273" customWidth="1"/>
    <col min="6916" max="6916" width="61.28515625" style="273" bestFit="1" customWidth="1"/>
    <col min="6917" max="6917" width="21.5703125" style="273" bestFit="1" customWidth="1"/>
    <col min="6918" max="6918" width="20" style="273" customWidth="1"/>
    <col min="6919" max="6919" width="21.140625" style="273" customWidth="1"/>
    <col min="6920" max="6920" width="20.85546875" style="273" customWidth="1"/>
    <col min="6921" max="6921" width="20.140625" style="273" customWidth="1"/>
    <col min="6922" max="7168" width="11.42578125" style="273"/>
    <col min="7169" max="7169" width="0.7109375" style="273" customWidth="1"/>
    <col min="7170" max="7170" width="8.85546875" style="273" bestFit="1" customWidth="1"/>
    <col min="7171" max="7171" width="17.7109375" style="273" customWidth="1"/>
    <col min="7172" max="7172" width="61.28515625" style="273" bestFit="1" customWidth="1"/>
    <col min="7173" max="7173" width="21.5703125" style="273" bestFit="1" customWidth="1"/>
    <col min="7174" max="7174" width="20" style="273" customWidth="1"/>
    <col min="7175" max="7175" width="21.140625" style="273" customWidth="1"/>
    <col min="7176" max="7176" width="20.85546875" style="273" customWidth="1"/>
    <col min="7177" max="7177" width="20.140625" style="273" customWidth="1"/>
    <col min="7178" max="7424" width="11.42578125" style="273"/>
    <col min="7425" max="7425" width="0.7109375" style="273" customWidth="1"/>
    <col min="7426" max="7426" width="8.85546875" style="273" bestFit="1" customWidth="1"/>
    <col min="7427" max="7427" width="17.7109375" style="273" customWidth="1"/>
    <col min="7428" max="7428" width="61.28515625" style="273" bestFit="1" customWidth="1"/>
    <col min="7429" max="7429" width="21.5703125" style="273" bestFit="1" customWidth="1"/>
    <col min="7430" max="7430" width="20" style="273" customWidth="1"/>
    <col min="7431" max="7431" width="21.140625" style="273" customWidth="1"/>
    <col min="7432" max="7432" width="20.85546875" style="273" customWidth="1"/>
    <col min="7433" max="7433" width="20.140625" style="273" customWidth="1"/>
    <col min="7434" max="7680" width="11.42578125" style="273"/>
    <col min="7681" max="7681" width="0.7109375" style="273" customWidth="1"/>
    <col min="7682" max="7682" width="8.85546875" style="273" bestFit="1" customWidth="1"/>
    <col min="7683" max="7683" width="17.7109375" style="273" customWidth="1"/>
    <col min="7684" max="7684" width="61.28515625" style="273" bestFit="1" customWidth="1"/>
    <col min="7685" max="7685" width="21.5703125" style="273" bestFit="1" customWidth="1"/>
    <col min="7686" max="7686" width="20" style="273" customWidth="1"/>
    <col min="7687" max="7687" width="21.140625" style="273" customWidth="1"/>
    <col min="7688" max="7688" width="20.85546875" style="273" customWidth="1"/>
    <col min="7689" max="7689" width="20.140625" style="273" customWidth="1"/>
    <col min="7690" max="7936" width="11.42578125" style="273"/>
    <col min="7937" max="7937" width="0.7109375" style="273" customWidth="1"/>
    <col min="7938" max="7938" width="8.85546875" style="273" bestFit="1" customWidth="1"/>
    <col min="7939" max="7939" width="17.7109375" style="273" customWidth="1"/>
    <col min="7940" max="7940" width="61.28515625" style="273" bestFit="1" customWidth="1"/>
    <col min="7941" max="7941" width="21.5703125" style="273" bestFit="1" customWidth="1"/>
    <col min="7942" max="7942" width="20" style="273" customWidth="1"/>
    <col min="7943" max="7943" width="21.140625" style="273" customWidth="1"/>
    <col min="7944" max="7944" width="20.85546875" style="273" customWidth="1"/>
    <col min="7945" max="7945" width="20.140625" style="273" customWidth="1"/>
    <col min="7946" max="8192" width="11.42578125" style="273"/>
    <col min="8193" max="8193" width="0.7109375" style="273" customWidth="1"/>
    <col min="8194" max="8194" width="8.85546875" style="273" bestFit="1" customWidth="1"/>
    <col min="8195" max="8195" width="17.7109375" style="273" customWidth="1"/>
    <col min="8196" max="8196" width="61.28515625" style="273" bestFit="1" customWidth="1"/>
    <col min="8197" max="8197" width="21.5703125" style="273" bestFit="1" customWidth="1"/>
    <col min="8198" max="8198" width="20" style="273" customWidth="1"/>
    <col min="8199" max="8199" width="21.140625" style="273" customWidth="1"/>
    <col min="8200" max="8200" width="20.85546875" style="273" customWidth="1"/>
    <col min="8201" max="8201" width="20.140625" style="273" customWidth="1"/>
    <col min="8202" max="8448" width="11.42578125" style="273"/>
    <col min="8449" max="8449" width="0.7109375" style="273" customWidth="1"/>
    <col min="8450" max="8450" width="8.85546875" style="273" bestFit="1" customWidth="1"/>
    <col min="8451" max="8451" width="17.7109375" style="273" customWidth="1"/>
    <col min="8452" max="8452" width="61.28515625" style="273" bestFit="1" customWidth="1"/>
    <col min="8453" max="8453" width="21.5703125" style="273" bestFit="1" customWidth="1"/>
    <col min="8454" max="8454" width="20" style="273" customWidth="1"/>
    <col min="8455" max="8455" width="21.140625" style="273" customWidth="1"/>
    <col min="8456" max="8456" width="20.85546875" style="273" customWidth="1"/>
    <col min="8457" max="8457" width="20.140625" style="273" customWidth="1"/>
    <col min="8458" max="8704" width="11.42578125" style="273"/>
    <col min="8705" max="8705" width="0.7109375" style="273" customWidth="1"/>
    <col min="8706" max="8706" width="8.85546875" style="273" bestFit="1" customWidth="1"/>
    <col min="8707" max="8707" width="17.7109375" style="273" customWidth="1"/>
    <col min="8708" max="8708" width="61.28515625" style="273" bestFit="1" customWidth="1"/>
    <col min="8709" max="8709" width="21.5703125" style="273" bestFit="1" customWidth="1"/>
    <col min="8710" max="8710" width="20" style="273" customWidth="1"/>
    <col min="8711" max="8711" width="21.140625" style="273" customWidth="1"/>
    <col min="8712" max="8712" width="20.85546875" style="273" customWidth="1"/>
    <col min="8713" max="8713" width="20.140625" style="273" customWidth="1"/>
    <col min="8714" max="8960" width="11.42578125" style="273"/>
    <col min="8961" max="8961" width="0.7109375" style="273" customWidth="1"/>
    <col min="8962" max="8962" width="8.85546875" style="273" bestFit="1" customWidth="1"/>
    <col min="8963" max="8963" width="17.7109375" style="273" customWidth="1"/>
    <col min="8964" max="8964" width="61.28515625" style="273" bestFit="1" customWidth="1"/>
    <col min="8965" max="8965" width="21.5703125" style="273" bestFit="1" customWidth="1"/>
    <col min="8966" max="8966" width="20" style="273" customWidth="1"/>
    <col min="8967" max="8967" width="21.140625" style="273" customWidth="1"/>
    <col min="8968" max="8968" width="20.85546875" style="273" customWidth="1"/>
    <col min="8969" max="8969" width="20.140625" style="273" customWidth="1"/>
    <col min="8970" max="9216" width="11.42578125" style="273"/>
    <col min="9217" max="9217" width="0.7109375" style="273" customWidth="1"/>
    <col min="9218" max="9218" width="8.85546875" style="273" bestFit="1" customWidth="1"/>
    <col min="9219" max="9219" width="17.7109375" style="273" customWidth="1"/>
    <col min="9220" max="9220" width="61.28515625" style="273" bestFit="1" customWidth="1"/>
    <col min="9221" max="9221" width="21.5703125" style="273" bestFit="1" customWidth="1"/>
    <col min="9222" max="9222" width="20" style="273" customWidth="1"/>
    <col min="9223" max="9223" width="21.140625" style="273" customWidth="1"/>
    <col min="9224" max="9224" width="20.85546875" style="273" customWidth="1"/>
    <col min="9225" max="9225" width="20.140625" style="273" customWidth="1"/>
    <col min="9226" max="9472" width="11.42578125" style="273"/>
    <col min="9473" max="9473" width="0.7109375" style="273" customWidth="1"/>
    <col min="9474" max="9474" width="8.85546875" style="273" bestFit="1" customWidth="1"/>
    <col min="9475" max="9475" width="17.7109375" style="273" customWidth="1"/>
    <col min="9476" max="9476" width="61.28515625" style="273" bestFit="1" customWidth="1"/>
    <col min="9477" max="9477" width="21.5703125" style="273" bestFit="1" customWidth="1"/>
    <col min="9478" max="9478" width="20" style="273" customWidth="1"/>
    <col min="9479" max="9479" width="21.140625" style="273" customWidth="1"/>
    <col min="9480" max="9480" width="20.85546875" style="273" customWidth="1"/>
    <col min="9481" max="9481" width="20.140625" style="273" customWidth="1"/>
    <col min="9482" max="9728" width="11.42578125" style="273"/>
    <col min="9729" max="9729" width="0.7109375" style="273" customWidth="1"/>
    <col min="9730" max="9730" width="8.85546875" style="273" bestFit="1" customWidth="1"/>
    <col min="9731" max="9731" width="17.7109375" style="273" customWidth="1"/>
    <col min="9732" max="9732" width="61.28515625" style="273" bestFit="1" customWidth="1"/>
    <col min="9733" max="9733" width="21.5703125" style="273" bestFit="1" customWidth="1"/>
    <col min="9734" max="9734" width="20" style="273" customWidth="1"/>
    <col min="9735" max="9735" width="21.140625" style="273" customWidth="1"/>
    <col min="9736" max="9736" width="20.85546875" style="273" customWidth="1"/>
    <col min="9737" max="9737" width="20.140625" style="273" customWidth="1"/>
    <col min="9738" max="9984" width="11.42578125" style="273"/>
    <col min="9985" max="9985" width="0.7109375" style="273" customWidth="1"/>
    <col min="9986" max="9986" width="8.85546875" style="273" bestFit="1" customWidth="1"/>
    <col min="9987" max="9987" width="17.7109375" style="273" customWidth="1"/>
    <col min="9988" max="9988" width="61.28515625" style="273" bestFit="1" customWidth="1"/>
    <col min="9989" max="9989" width="21.5703125" style="273" bestFit="1" customWidth="1"/>
    <col min="9990" max="9990" width="20" style="273" customWidth="1"/>
    <col min="9991" max="9991" width="21.140625" style="273" customWidth="1"/>
    <col min="9992" max="9992" width="20.85546875" style="273" customWidth="1"/>
    <col min="9993" max="9993" width="20.140625" style="273" customWidth="1"/>
    <col min="9994" max="10240" width="11.42578125" style="273"/>
    <col min="10241" max="10241" width="0.7109375" style="273" customWidth="1"/>
    <col min="10242" max="10242" width="8.85546875" style="273" bestFit="1" customWidth="1"/>
    <col min="10243" max="10243" width="17.7109375" style="273" customWidth="1"/>
    <col min="10244" max="10244" width="61.28515625" style="273" bestFit="1" customWidth="1"/>
    <col min="10245" max="10245" width="21.5703125" style="273" bestFit="1" customWidth="1"/>
    <col min="10246" max="10246" width="20" style="273" customWidth="1"/>
    <col min="10247" max="10247" width="21.140625" style="273" customWidth="1"/>
    <col min="10248" max="10248" width="20.85546875" style="273" customWidth="1"/>
    <col min="10249" max="10249" width="20.140625" style="273" customWidth="1"/>
    <col min="10250" max="10496" width="11.42578125" style="273"/>
    <col min="10497" max="10497" width="0.7109375" style="273" customWidth="1"/>
    <col min="10498" max="10498" width="8.85546875" style="273" bestFit="1" customWidth="1"/>
    <col min="10499" max="10499" width="17.7109375" style="273" customWidth="1"/>
    <col min="10500" max="10500" width="61.28515625" style="273" bestFit="1" customWidth="1"/>
    <col min="10501" max="10501" width="21.5703125" style="273" bestFit="1" customWidth="1"/>
    <col min="10502" max="10502" width="20" style="273" customWidth="1"/>
    <col min="10503" max="10503" width="21.140625" style="273" customWidth="1"/>
    <col min="10504" max="10504" width="20.85546875" style="273" customWidth="1"/>
    <col min="10505" max="10505" width="20.140625" style="273" customWidth="1"/>
    <col min="10506" max="10752" width="11.42578125" style="273"/>
    <col min="10753" max="10753" width="0.7109375" style="273" customWidth="1"/>
    <col min="10754" max="10754" width="8.85546875" style="273" bestFit="1" customWidth="1"/>
    <col min="10755" max="10755" width="17.7109375" style="273" customWidth="1"/>
    <col min="10756" max="10756" width="61.28515625" style="273" bestFit="1" customWidth="1"/>
    <col min="10757" max="10757" width="21.5703125" style="273" bestFit="1" customWidth="1"/>
    <col min="10758" max="10758" width="20" style="273" customWidth="1"/>
    <col min="10759" max="10759" width="21.140625" style="273" customWidth="1"/>
    <col min="10760" max="10760" width="20.85546875" style="273" customWidth="1"/>
    <col min="10761" max="10761" width="20.140625" style="273" customWidth="1"/>
    <col min="10762" max="11008" width="11.42578125" style="273"/>
    <col min="11009" max="11009" width="0.7109375" style="273" customWidth="1"/>
    <col min="11010" max="11010" width="8.85546875" style="273" bestFit="1" customWidth="1"/>
    <col min="11011" max="11011" width="17.7109375" style="273" customWidth="1"/>
    <col min="11012" max="11012" width="61.28515625" style="273" bestFit="1" customWidth="1"/>
    <col min="11013" max="11013" width="21.5703125" style="273" bestFit="1" customWidth="1"/>
    <col min="11014" max="11014" width="20" style="273" customWidth="1"/>
    <col min="11015" max="11015" width="21.140625" style="273" customWidth="1"/>
    <col min="11016" max="11016" width="20.85546875" style="273" customWidth="1"/>
    <col min="11017" max="11017" width="20.140625" style="273" customWidth="1"/>
    <col min="11018" max="11264" width="11.42578125" style="273"/>
    <col min="11265" max="11265" width="0.7109375" style="273" customWidth="1"/>
    <col min="11266" max="11266" width="8.85546875" style="273" bestFit="1" customWidth="1"/>
    <col min="11267" max="11267" width="17.7109375" style="273" customWidth="1"/>
    <col min="11268" max="11268" width="61.28515625" style="273" bestFit="1" customWidth="1"/>
    <col min="11269" max="11269" width="21.5703125" style="273" bestFit="1" customWidth="1"/>
    <col min="11270" max="11270" width="20" style="273" customWidth="1"/>
    <col min="11271" max="11271" width="21.140625" style="273" customWidth="1"/>
    <col min="11272" max="11272" width="20.85546875" style="273" customWidth="1"/>
    <col min="11273" max="11273" width="20.140625" style="273" customWidth="1"/>
    <col min="11274" max="11520" width="11.42578125" style="273"/>
    <col min="11521" max="11521" width="0.7109375" style="273" customWidth="1"/>
    <col min="11522" max="11522" width="8.85546875" style="273" bestFit="1" customWidth="1"/>
    <col min="11523" max="11523" width="17.7109375" style="273" customWidth="1"/>
    <col min="11524" max="11524" width="61.28515625" style="273" bestFit="1" customWidth="1"/>
    <col min="11525" max="11525" width="21.5703125" style="273" bestFit="1" customWidth="1"/>
    <col min="11526" max="11526" width="20" style="273" customWidth="1"/>
    <col min="11527" max="11527" width="21.140625" style="273" customWidth="1"/>
    <col min="11528" max="11528" width="20.85546875" style="273" customWidth="1"/>
    <col min="11529" max="11529" width="20.140625" style="273" customWidth="1"/>
    <col min="11530" max="11776" width="11.42578125" style="273"/>
    <col min="11777" max="11777" width="0.7109375" style="273" customWidth="1"/>
    <col min="11778" max="11778" width="8.85546875" style="273" bestFit="1" customWidth="1"/>
    <col min="11779" max="11779" width="17.7109375" style="273" customWidth="1"/>
    <col min="11780" max="11780" width="61.28515625" style="273" bestFit="1" customWidth="1"/>
    <col min="11781" max="11781" width="21.5703125" style="273" bestFit="1" customWidth="1"/>
    <col min="11782" max="11782" width="20" style="273" customWidth="1"/>
    <col min="11783" max="11783" width="21.140625" style="273" customWidth="1"/>
    <col min="11784" max="11784" width="20.85546875" style="273" customWidth="1"/>
    <col min="11785" max="11785" width="20.140625" style="273" customWidth="1"/>
    <col min="11786" max="12032" width="11.42578125" style="273"/>
    <col min="12033" max="12033" width="0.7109375" style="273" customWidth="1"/>
    <col min="12034" max="12034" width="8.85546875" style="273" bestFit="1" customWidth="1"/>
    <col min="12035" max="12035" width="17.7109375" style="273" customWidth="1"/>
    <col min="12036" max="12036" width="61.28515625" style="273" bestFit="1" customWidth="1"/>
    <col min="12037" max="12037" width="21.5703125" style="273" bestFit="1" customWidth="1"/>
    <col min="12038" max="12038" width="20" style="273" customWidth="1"/>
    <col min="12039" max="12039" width="21.140625" style="273" customWidth="1"/>
    <col min="12040" max="12040" width="20.85546875" style="273" customWidth="1"/>
    <col min="12041" max="12041" width="20.140625" style="273" customWidth="1"/>
    <col min="12042" max="12288" width="11.42578125" style="273"/>
    <col min="12289" max="12289" width="0.7109375" style="273" customWidth="1"/>
    <col min="12290" max="12290" width="8.85546875" style="273" bestFit="1" customWidth="1"/>
    <col min="12291" max="12291" width="17.7109375" style="273" customWidth="1"/>
    <col min="12292" max="12292" width="61.28515625" style="273" bestFit="1" customWidth="1"/>
    <col min="12293" max="12293" width="21.5703125" style="273" bestFit="1" customWidth="1"/>
    <col min="12294" max="12294" width="20" style="273" customWidth="1"/>
    <col min="12295" max="12295" width="21.140625" style="273" customWidth="1"/>
    <col min="12296" max="12296" width="20.85546875" style="273" customWidth="1"/>
    <col min="12297" max="12297" width="20.140625" style="273" customWidth="1"/>
    <col min="12298" max="12544" width="11.42578125" style="273"/>
    <col min="12545" max="12545" width="0.7109375" style="273" customWidth="1"/>
    <col min="12546" max="12546" width="8.85546875" style="273" bestFit="1" customWidth="1"/>
    <col min="12547" max="12547" width="17.7109375" style="273" customWidth="1"/>
    <col min="12548" max="12548" width="61.28515625" style="273" bestFit="1" customWidth="1"/>
    <col min="12549" max="12549" width="21.5703125" style="273" bestFit="1" customWidth="1"/>
    <col min="12550" max="12550" width="20" style="273" customWidth="1"/>
    <col min="12551" max="12551" width="21.140625" style="273" customWidth="1"/>
    <col min="12552" max="12552" width="20.85546875" style="273" customWidth="1"/>
    <col min="12553" max="12553" width="20.140625" style="273" customWidth="1"/>
    <col min="12554" max="12800" width="11.42578125" style="273"/>
    <col min="12801" max="12801" width="0.7109375" style="273" customWidth="1"/>
    <col min="12802" max="12802" width="8.85546875" style="273" bestFit="1" customWidth="1"/>
    <col min="12803" max="12803" width="17.7109375" style="273" customWidth="1"/>
    <col min="12804" max="12804" width="61.28515625" style="273" bestFit="1" customWidth="1"/>
    <col min="12805" max="12805" width="21.5703125" style="273" bestFit="1" customWidth="1"/>
    <col min="12806" max="12806" width="20" style="273" customWidth="1"/>
    <col min="12807" max="12807" width="21.140625" style="273" customWidth="1"/>
    <col min="12808" max="12808" width="20.85546875" style="273" customWidth="1"/>
    <col min="12809" max="12809" width="20.140625" style="273" customWidth="1"/>
    <col min="12810" max="13056" width="11.42578125" style="273"/>
    <col min="13057" max="13057" width="0.7109375" style="273" customWidth="1"/>
    <col min="13058" max="13058" width="8.85546875" style="273" bestFit="1" customWidth="1"/>
    <col min="13059" max="13059" width="17.7109375" style="273" customWidth="1"/>
    <col min="13060" max="13060" width="61.28515625" style="273" bestFit="1" customWidth="1"/>
    <col min="13061" max="13061" width="21.5703125" style="273" bestFit="1" customWidth="1"/>
    <col min="13062" max="13062" width="20" style="273" customWidth="1"/>
    <col min="13063" max="13063" width="21.140625" style="273" customWidth="1"/>
    <col min="13064" max="13064" width="20.85546875" style="273" customWidth="1"/>
    <col min="13065" max="13065" width="20.140625" style="273" customWidth="1"/>
    <col min="13066" max="13312" width="11.42578125" style="273"/>
    <col min="13313" max="13313" width="0.7109375" style="273" customWidth="1"/>
    <col min="13314" max="13314" width="8.85546875" style="273" bestFit="1" customWidth="1"/>
    <col min="13315" max="13315" width="17.7109375" style="273" customWidth="1"/>
    <col min="13316" max="13316" width="61.28515625" style="273" bestFit="1" customWidth="1"/>
    <col min="13317" max="13317" width="21.5703125" style="273" bestFit="1" customWidth="1"/>
    <col min="13318" max="13318" width="20" style="273" customWidth="1"/>
    <col min="13319" max="13319" width="21.140625" style="273" customWidth="1"/>
    <col min="13320" max="13320" width="20.85546875" style="273" customWidth="1"/>
    <col min="13321" max="13321" width="20.140625" style="273" customWidth="1"/>
    <col min="13322" max="13568" width="11.42578125" style="273"/>
    <col min="13569" max="13569" width="0.7109375" style="273" customWidth="1"/>
    <col min="13570" max="13570" width="8.85546875" style="273" bestFit="1" customWidth="1"/>
    <col min="13571" max="13571" width="17.7109375" style="273" customWidth="1"/>
    <col min="13572" max="13572" width="61.28515625" style="273" bestFit="1" customWidth="1"/>
    <col min="13573" max="13573" width="21.5703125" style="273" bestFit="1" customWidth="1"/>
    <col min="13574" max="13574" width="20" style="273" customWidth="1"/>
    <col min="13575" max="13575" width="21.140625" style="273" customWidth="1"/>
    <col min="13576" max="13576" width="20.85546875" style="273" customWidth="1"/>
    <col min="13577" max="13577" width="20.140625" style="273" customWidth="1"/>
    <col min="13578" max="13824" width="11.42578125" style="273"/>
    <col min="13825" max="13825" width="0.7109375" style="273" customWidth="1"/>
    <col min="13826" max="13826" width="8.85546875" style="273" bestFit="1" customWidth="1"/>
    <col min="13827" max="13827" width="17.7109375" style="273" customWidth="1"/>
    <col min="13828" max="13828" width="61.28515625" style="273" bestFit="1" customWidth="1"/>
    <col min="13829" max="13829" width="21.5703125" style="273" bestFit="1" customWidth="1"/>
    <col min="13830" max="13830" width="20" style="273" customWidth="1"/>
    <col min="13831" max="13831" width="21.140625" style="273" customWidth="1"/>
    <col min="13832" max="13832" width="20.85546875" style="273" customWidth="1"/>
    <col min="13833" max="13833" width="20.140625" style="273" customWidth="1"/>
    <col min="13834" max="14080" width="11.42578125" style="273"/>
    <col min="14081" max="14081" width="0.7109375" style="273" customWidth="1"/>
    <col min="14082" max="14082" width="8.85546875" style="273" bestFit="1" customWidth="1"/>
    <col min="14083" max="14083" width="17.7109375" style="273" customWidth="1"/>
    <col min="14084" max="14084" width="61.28515625" style="273" bestFit="1" customWidth="1"/>
    <col min="14085" max="14085" width="21.5703125" style="273" bestFit="1" customWidth="1"/>
    <col min="14086" max="14086" width="20" style="273" customWidth="1"/>
    <col min="14087" max="14087" width="21.140625" style="273" customWidth="1"/>
    <col min="14088" max="14088" width="20.85546875" style="273" customWidth="1"/>
    <col min="14089" max="14089" width="20.140625" style="273" customWidth="1"/>
    <col min="14090" max="14336" width="11.42578125" style="273"/>
    <col min="14337" max="14337" width="0.7109375" style="273" customWidth="1"/>
    <col min="14338" max="14338" width="8.85546875" style="273" bestFit="1" customWidth="1"/>
    <col min="14339" max="14339" width="17.7109375" style="273" customWidth="1"/>
    <col min="14340" max="14340" width="61.28515625" style="273" bestFit="1" customWidth="1"/>
    <col min="14341" max="14341" width="21.5703125" style="273" bestFit="1" customWidth="1"/>
    <col min="14342" max="14342" width="20" style="273" customWidth="1"/>
    <col min="14343" max="14343" width="21.140625" style="273" customWidth="1"/>
    <col min="14344" max="14344" width="20.85546875" style="273" customWidth="1"/>
    <col min="14345" max="14345" width="20.140625" style="273" customWidth="1"/>
    <col min="14346" max="14592" width="11.42578125" style="273"/>
    <col min="14593" max="14593" width="0.7109375" style="273" customWidth="1"/>
    <col min="14594" max="14594" width="8.85546875" style="273" bestFit="1" customWidth="1"/>
    <col min="14595" max="14595" width="17.7109375" style="273" customWidth="1"/>
    <col min="14596" max="14596" width="61.28515625" style="273" bestFit="1" customWidth="1"/>
    <col min="14597" max="14597" width="21.5703125" style="273" bestFit="1" customWidth="1"/>
    <col min="14598" max="14598" width="20" style="273" customWidth="1"/>
    <col min="14599" max="14599" width="21.140625" style="273" customWidth="1"/>
    <col min="14600" max="14600" width="20.85546875" style="273" customWidth="1"/>
    <col min="14601" max="14601" width="20.140625" style="273" customWidth="1"/>
    <col min="14602" max="14848" width="11.42578125" style="273"/>
    <col min="14849" max="14849" width="0.7109375" style="273" customWidth="1"/>
    <col min="14850" max="14850" width="8.85546875" style="273" bestFit="1" customWidth="1"/>
    <col min="14851" max="14851" width="17.7109375" style="273" customWidth="1"/>
    <col min="14852" max="14852" width="61.28515625" style="273" bestFit="1" customWidth="1"/>
    <col min="14853" max="14853" width="21.5703125" style="273" bestFit="1" customWidth="1"/>
    <col min="14854" max="14854" width="20" style="273" customWidth="1"/>
    <col min="14855" max="14855" width="21.140625" style="273" customWidth="1"/>
    <col min="14856" max="14856" width="20.85546875" style="273" customWidth="1"/>
    <col min="14857" max="14857" width="20.140625" style="273" customWidth="1"/>
    <col min="14858" max="15104" width="11.42578125" style="273"/>
    <col min="15105" max="15105" width="0.7109375" style="273" customWidth="1"/>
    <col min="15106" max="15106" width="8.85546875" style="273" bestFit="1" customWidth="1"/>
    <col min="15107" max="15107" width="17.7109375" style="273" customWidth="1"/>
    <col min="15108" max="15108" width="61.28515625" style="273" bestFit="1" customWidth="1"/>
    <col min="15109" max="15109" width="21.5703125" style="273" bestFit="1" customWidth="1"/>
    <col min="15110" max="15110" width="20" style="273" customWidth="1"/>
    <col min="15111" max="15111" width="21.140625" style="273" customWidth="1"/>
    <col min="15112" max="15112" width="20.85546875" style="273" customWidth="1"/>
    <col min="15113" max="15113" width="20.140625" style="273" customWidth="1"/>
    <col min="15114" max="15360" width="11.42578125" style="273"/>
    <col min="15361" max="15361" width="0.7109375" style="273" customWidth="1"/>
    <col min="15362" max="15362" width="8.85546875" style="273" bestFit="1" customWidth="1"/>
    <col min="15363" max="15363" width="17.7109375" style="273" customWidth="1"/>
    <col min="15364" max="15364" width="61.28515625" style="273" bestFit="1" customWidth="1"/>
    <col min="15365" max="15365" width="21.5703125" style="273" bestFit="1" customWidth="1"/>
    <col min="15366" max="15366" width="20" style="273" customWidth="1"/>
    <col min="15367" max="15367" width="21.140625" style="273" customWidth="1"/>
    <col min="15368" max="15368" width="20.85546875" style="273" customWidth="1"/>
    <col min="15369" max="15369" width="20.140625" style="273" customWidth="1"/>
    <col min="15370" max="15616" width="11.42578125" style="273"/>
    <col min="15617" max="15617" width="0.7109375" style="273" customWidth="1"/>
    <col min="15618" max="15618" width="8.85546875" style="273" bestFit="1" customWidth="1"/>
    <col min="15619" max="15619" width="17.7109375" style="273" customWidth="1"/>
    <col min="15620" max="15620" width="61.28515625" style="273" bestFit="1" customWidth="1"/>
    <col min="15621" max="15621" width="21.5703125" style="273" bestFit="1" customWidth="1"/>
    <col min="15622" max="15622" width="20" style="273" customWidth="1"/>
    <col min="15623" max="15623" width="21.140625" style="273" customWidth="1"/>
    <col min="15624" max="15624" width="20.85546875" style="273" customWidth="1"/>
    <col min="15625" max="15625" width="20.140625" style="273" customWidth="1"/>
    <col min="15626" max="15872" width="11.42578125" style="273"/>
    <col min="15873" max="15873" width="0.7109375" style="273" customWidth="1"/>
    <col min="15874" max="15874" width="8.85546875" style="273" bestFit="1" customWidth="1"/>
    <col min="15875" max="15875" width="17.7109375" style="273" customWidth="1"/>
    <col min="15876" max="15876" width="61.28515625" style="273" bestFit="1" customWidth="1"/>
    <col min="15877" max="15877" width="21.5703125" style="273" bestFit="1" customWidth="1"/>
    <col min="15878" max="15878" width="20" style="273" customWidth="1"/>
    <col min="15879" max="15879" width="21.140625" style="273" customWidth="1"/>
    <col min="15880" max="15880" width="20.85546875" style="273" customWidth="1"/>
    <col min="15881" max="15881" width="20.140625" style="273" customWidth="1"/>
    <col min="15882" max="16128" width="11.42578125" style="273"/>
    <col min="16129" max="16129" width="0.7109375" style="273" customWidth="1"/>
    <col min="16130" max="16130" width="8.85546875" style="273" bestFit="1" customWidth="1"/>
    <col min="16131" max="16131" width="17.7109375" style="273" customWidth="1"/>
    <col min="16132" max="16132" width="61.28515625" style="273" bestFit="1" customWidth="1"/>
    <col min="16133" max="16133" width="21.5703125" style="273" bestFit="1" customWidth="1"/>
    <col min="16134" max="16134" width="20" style="273" customWidth="1"/>
    <col min="16135" max="16135" width="21.140625" style="273" customWidth="1"/>
    <col min="16136" max="16136" width="20.85546875" style="273" customWidth="1"/>
    <col min="16137" max="16137" width="20.140625" style="273" customWidth="1"/>
    <col min="16138" max="16384" width="11.42578125" style="273"/>
  </cols>
  <sheetData>
    <row r="1" spans="1:10" ht="13.5" thickBot="1" x14ac:dyDescent="0.25">
      <c r="B1" s="287"/>
      <c r="C1" s="815"/>
      <c r="D1" s="286"/>
      <c r="E1" s="769"/>
      <c r="F1" s="769"/>
      <c r="G1" s="769"/>
      <c r="H1" s="769"/>
      <c r="I1" s="769"/>
      <c r="J1" s="286"/>
    </row>
    <row r="2" spans="1:10" s="766" customFormat="1" ht="39" thickBot="1" x14ac:dyDescent="0.25">
      <c r="A2" s="285"/>
      <c r="B2" s="816" t="s">
        <v>974</v>
      </c>
      <c r="C2" s="817" t="s">
        <v>3605</v>
      </c>
      <c r="D2" s="816" t="s">
        <v>2357</v>
      </c>
      <c r="E2" s="818" t="s">
        <v>3606</v>
      </c>
      <c r="F2" s="818" t="s">
        <v>3607</v>
      </c>
      <c r="G2" s="818" t="s">
        <v>3608</v>
      </c>
      <c r="H2" s="818" t="s">
        <v>531</v>
      </c>
      <c r="I2" s="818" t="s">
        <v>3609</v>
      </c>
      <c r="J2" s="285"/>
    </row>
    <row r="3" spans="1:10" s="766" customFormat="1" x14ac:dyDescent="0.2">
      <c r="A3" s="285"/>
      <c r="B3" s="285"/>
      <c r="C3" s="819"/>
      <c r="D3" s="285"/>
      <c r="E3" s="820"/>
      <c r="F3" s="820"/>
      <c r="G3" s="820"/>
      <c r="H3" s="820"/>
      <c r="I3" s="820"/>
      <c r="J3" s="285"/>
    </row>
    <row r="4" spans="1:10" s="771" customFormat="1" x14ac:dyDescent="0.2">
      <c r="B4" s="285">
        <v>1</v>
      </c>
      <c r="C4" s="821"/>
      <c r="D4" s="822" t="s">
        <v>556</v>
      </c>
      <c r="E4" s="823">
        <v>272704035086.42999</v>
      </c>
      <c r="F4" s="823">
        <v>0</v>
      </c>
      <c r="G4" s="823">
        <v>272704035086.42999</v>
      </c>
      <c r="H4" s="823">
        <v>132182704768.91</v>
      </c>
      <c r="I4" s="823">
        <v>140521330317.51999</v>
      </c>
    </row>
    <row r="5" spans="1:10" s="771" customFormat="1" x14ac:dyDescent="0.2">
      <c r="B5" s="285"/>
      <c r="C5" s="821"/>
      <c r="D5" s="822"/>
      <c r="E5" s="823"/>
      <c r="F5" s="823"/>
      <c r="G5" s="823"/>
      <c r="H5" s="823"/>
      <c r="I5" s="823"/>
    </row>
    <row r="6" spans="1:10" s="771" customFormat="1" x14ac:dyDescent="0.2">
      <c r="B6" s="766">
        <v>1</v>
      </c>
      <c r="C6" s="824" t="s">
        <v>946</v>
      </c>
      <c r="D6" s="771" t="s">
        <v>557</v>
      </c>
      <c r="E6" s="825">
        <v>93402082337.949997</v>
      </c>
      <c r="F6" s="825">
        <v>-2791031909.6500001</v>
      </c>
      <c r="G6" s="825">
        <v>90611050428.300003</v>
      </c>
      <c r="H6" s="825">
        <v>45839210460.989998</v>
      </c>
      <c r="I6" s="825">
        <v>44771839967.309998</v>
      </c>
    </row>
    <row r="7" spans="1:10" x14ac:dyDescent="0.2">
      <c r="B7" s="274">
        <v>1</v>
      </c>
      <c r="C7" s="826" t="s">
        <v>1228</v>
      </c>
      <c r="D7" s="273" t="s">
        <v>558</v>
      </c>
      <c r="E7" s="768">
        <v>19196411932.689999</v>
      </c>
      <c r="F7" s="768">
        <v>-8978130798.5400009</v>
      </c>
      <c r="G7" s="768">
        <v>10218281134.15</v>
      </c>
      <c r="H7" s="768">
        <v>3034540610.9699998</v>
      </c>
      <c r="I7" s="768">
        <v>7183740523.1800003</v>
      </c>
    </row>
    <row r="8" spans="1:10" x14ac:dyDescent="0.2">
      <c r="B8" s="274">
        <v>1</v>
      </c>
      <c r="C8" s="826" t="s">
        <v>947</v>
      </c>
      <c r="D8" s="273" t="s">
        <v>559</v>
      </c>
      <c r="E8" s="768">
        <v>313819261.50999999</v>
      </c>
      <c r="F8" s="768">
        <v>15126299</v>
      </c>
      <c r="G8" s="768">
        <v>328945560.50999999</v>
      </c>
      <c r="H8" s="768">
        <v>33593011.100000001</v>
      </c>
      <c r="I8" s="768">
        <v>295352549.41000003</v>
      </c>
    </row>
    <row r="9" spans="1:10" x14ac:dyDescent="0.2">
      <c r="B9" s="274">
        <v>1</v>
      </c>
      <c r="C9" s="826" t="s">
        <v>948</v>
      </c>
      <c r="D9" s="273" t="s">
        <v>560</v>
      </c>
      <c r="E9" s="768">
        <v>1381563272.75</v>
      </c>
      <c r="F9" s="768">
        <v>97134364.319999993</v>
      </c>
      <c r="G9" s="768">
        <v>1478697637.0699999</v>
      </c>
      <c r="H9" s="768">
        <v>614489772.42999995</v>
      </c>
      <c r="I9" s="768">
        <v>864207864.63999999</v>
      </c>
    </row>
    <row r="10" spans="1:10" x14ac:dyDescent="0.2">
      <c r="B10" s="274">
        <v>1</v>
      </c>
      <c r="C10" s="826" t="s">
        <v>949</v>
      </c>
      <c r="D10" s="273" t="s">
        <v>561</v>
      </c>
      <c r="E10" s="768">
        <v>170951947.16</v>
      </c>
      <c r="F10" s="768">
        <v>7973828.4500000002</v>
      </c>
      <c r="G10" s="768">
        <v>178925775.61000001</v>
      </c>
      <c r="H10" s="768">
        <v>106256071.8</v>
      </c>
      <c r="I10" s="768">
        <v>72669703.810000002</v>
      </c>
    </row>
    <row r="11" spans="1:10" x14ac:dyDescent="0.2">
      <c r="B11" s="274">
        <v>1</v>
      </c>
      <c r="C11" s="826" t="s">
        <v>950</v>
      </c>
      <c r="D11" s="273" t="s">
        <v>1779</v>
      </c>
      <c r="E11" s="768">
        <v>17095951545.559999</v>
      </c>
      <c r="F11" s="768">
        <v>-9109082458.2999992</v>
      </c>
      <c r="G11" s="768">
        <v>7986869087.2600002</v>
      </c>
      <c r="H11" s="768">
        <v>2219983925.6900001</v>
      </c>
      <c r="I11" s="768">
        <v>5766885161.5699997</v>
      </c>
    </row>
    <row r="12" spans="1:10" x14ac:dyDescent="0.2">
      <c r="B12" s="274">
        <v>1</v>
      </c>
      <c r="C12" s="826" t="s">
        <v>2358</v>
      </c>
      <c r="D12" s="273" t="s">
        <v>2359</v>
      </c>
      <c r="E12" s="768">
        <v>17095951545.559999</v>
      </c>
      <c r="F12" s="768">
        <v>-9109082458.2999992</v>
      </c>
      <c r="G12" s="768">
        <v>7986869087.2600002</v>
      </c>
      <c r="H12" s="768">
        <v>2219983925.6900001</v>
      </c>
      <c r="I12" s="768">
        <v>5766885161.5699997</v>
      </c>
    </row>
    <row r="13" spans="1:10" x14ac:dyDescent="0.2">
      <c r="B13" s="274">
        <v>1</v>
      </c>
      <c r="C13" s="826" t="s">
        <v>951</v>
      </c>
      <c r="D13" s="273" t="s">
        <v>562</v>
      </c>
      <c r="E13" s="768">
        <v>156909630.71000001</v>
      </c>
      <c r="F13" s="768">
        <v>10491273.09</v>
      </c>
      <c r="G13" s="768">
        <v>167400903.80000001</v>
      </c>
      <c r="H13" s="768">
        <v>53867592.75</v>
      </c>
      <c r="I13" s="768">
        <v>113533311.05</v>
      </c>
    </row>
    <row r="14" spans="1:10" x14ac:dyDescent="0.2">
      <c r="B14" s="274">
        <v>1</v>
      </c>
      <c r="C14" s="826" t="s">
        <v>1229</v>
      </c>
      <c r="D14" s="273" t="s">
        <v>563</v>
      </c>
      <c r="E14" s="768">
        <v>30923800</v>
      </c>
      <c r="F14" s="768">
        <v>0</v>
      </c>
      <c r="G14" s="768">
        <v>30923800</v>
      </c>
      <c r="H14" s="768">
        <v>1844075.6</v>
      </c>
      <c r="I14" s="768">
        <v>29079724.399999999</v>
      </c>
    </row>
    <row r="15" spans="1:10" x14ac:dyDescent="0.2">
      <c r="B15" s="274">
        <v>1</v>
      </c>
      <c r="C15" s="826" t="s">
        <v>3045</v>
      </c>
      <c r="D15" s="273" t="s">
        <v>3046</v>
      </c>
      <c r="E15" s="768">
        <v>46292475</v>
      </c>
      <c r="F15" s="768">
        <v>225894.9</v>
      </c>
      <c r="G15" s="768">
        <v>46518369.899999999</v>
      </c>
      <c r="H15" s="768">
        <v>4506161.5999999996</v>
      </c>
      <c r="I15" s="768">
        <v>42012208.299999997</v>
      </c>
    </row>
    <row r="16" spans="1:10" x14ac:dyDescent="0.2">
      <c r="B16" s="274">
        <v>1</v>
      </c>
      <c r="C16" s="826" t="s">
        <v>952</v>
      </c>
      <c r="D16" s="273" t="s">
        <v>564</v>
      </c>
      <c r="E16" s="768">
        <v>7683901863.4399996</v>
      </c>
      <c r="F16" s="768">
        <v>695910405.10000002</v>
      </c>
      <c r="G16" s="768">
        <v>8379812268.54</v>
      </c>
      <c r="H16" s="768">
        <v>5008496910.4499998</v>
      </c>
      <c r="I16" s="768">
        <v>3371315358.0900002</v>
      </c>
    </row>
    <row r="17" spans="2:9" x14ac:dyDescent="0.2">
      <c r="B17" s="274">
        <v>1</v>
      </c>
      <c r="C17" s="826" t="s">
        <v>953</v>
      </c>
      <c r="D17" s="273" t="s">
        <v>565</v>
      </c>
      <c r="E17" s="768">
        <v>3667044187.7399998</v>
      </c>
      <c r="F17" s="768">
        <v>304035986.49000001</v>
      </c>
      <c r="G17" s="768">
        <v>3971080174.23</v>
      </c>
      <c r="H17" s="768">
        <v>2121556376.72</v>
      </c>
      <c r="I17" s="768">
        <v>1849523797.51</v>
      </c>
    </row>
    <row r="18" spans="2:9" x14ac:dyDescent="0.2">
      <c r="B18" s="274">
        <v>1</v>
      </c>
      <c r="C18" s="826" t="s">
        <v>954</v>
      </c>
      <c r="D18" s="273" t="s">
        <v>566</v>
      </c>
      <c r="E18" s="768">
        <v>523857453.19999999</v>
      </c>
      <c r="F18" s="768">
        <v>44434461.359999999</v>
      </c>
      <c r="G18" s="768">
        <v>568291914.55999994</v>
      </c>
      <c r="H18" s="768">
        <v>264303661.16</v>
      </c>
      <c r="I18" s="768">
        <v>303988253.39999998</v>
      </c>
    </row>
    <row r="19" spans="2:9" x14ac:dyDescent="0.2">
      <c r="B19" s="274">
        <v>1</v>
      </c>
      <c r="C19" s="826" t="s">
        <v>955</v>
      </c>
      <c r="D19" s="273" t="s">
        <v>567</v>
      </c>
      <c r="E19" s="768">
        <v>1402442818.9100001</v>
      </c>
      <c r="F19" s="768">
        <v>103266399.44</v>
      </c>
      <c r="G19" s="768">
        <v>1505709218.3499999</v>
      </c>
      <c r="H19" s="768">
        <v>731623259.10000002</v>
      </c>
      <c r="I19" s="768">
        <v>774085959.25</v>
      </c>
    </row>
    <row r="20" spans="2:9" x14ac:dyDescent="0.2">
      <c r="B20" s="274">
        <v>1</v>
      </c>
      <c r="C20" s="826" t="s">
        <v>956</v>
      </c>
      <c r="D20" s="273" t="s">
        <v>568</v>
      </c>
      <c r="E20" s="768">
        <v>1740743915.6300001</v>
      </c>
      <c r="F20" s="768">
        <v>156335125.69</v>
      </c>
      <c r="G20" s="768">
        <v>1897079041.3199999</v>
      </c>
      <c r="H20" s="768">
        <v>1125629456.46</v>
      </c>
      <c r="I20" s="768">
        <v>771449584.86000001</v>
      </c>
    </row>
    <row r="21" spans="2:9" x14ac:dyDescent="0.2">
      <c r="B21" s="274">
        <v>1</v>
      </c>
      <c r="C21" s="826" t="s">
        <v>957</v>
      </c>
      <c r="D21" s="273" t="s">
        <v>569</v>
      </c>
      <c r="E21" s="768">
        <v>4016857675.6999998</v>
      </c>
      <c r="F21" s="768">
        <v>391874418.61000001</v>
      </c>
      <c r="G21" s="768">
        <v>4408732094.3100004</v>
      </c>
      <c r="H21" s="768">
        <v>2886940533.73</v>
      </c>
      <c r="I21" s="768">
        <v>1521791560.5799999</v>
      </c>
    </row>
    <row r="22" spans="2:9" x14ac:dyDescent="0.2">
      <c r="B22" s="274">
        <v>1</v>
      </c>
      <c r="C22" s="826" t="s">
        <v>405</v>
      </c>
      <c r="D22" s="273" t="s">
        <v>570</v>
      </c>
      <c r="E22" s="768">
        <v>1072094240.28</v>
      </c>
      <c r="F22" s="768">
        <v>117871608.87</v>
      </c>
      <c r="G22" s="768">
        <v>1189965849.1500001</v>
      </c>
      <c r="H22" s="768">
        <v>907814385.25</v>
      </c>
      <c r="I22" s="768">
        <v>282151463.89999998</v>
      </c>
    </row>
    <row r="23" spans="2:9" x14ac:dyDescent="0.2">
      <c r="B23" s="274">
        <v>1</v>
      </c>
      <c r="C23" s="826" t="s">
        <v>406</v>
      </c>
      <c r="D23" s="273" t="s">
        <v>571</v>
      </c>
      <c r="E23" s="768">
        <v>725259519.61000001</v>
      </c>
      <c r="F23" s="768">
        <v>80261971.530000001</v>
      </c>
      <c r="G23" s="768">
        <v>805521491.13999999</v>
      </c>
      <c r="H23" s="768">
        <v>623158366.46000004</v>
      </c>
      <c r="I23" s="768">
        <v>182363124.68000001</v>
      </c>
    </row>
    <row r="24" spans="2:9" x14ac:dyDescent="0.2">
      <c r="B24" s="274">
        <v>1</v>
      </c>
      <c r="C24" s="826" t="s">
        <v>407</v>
      </c>
      <c r="D24" s="273" t="s">
        <v>572</v>
      </c>
      <c r="E24" s="768">
        <v>2219503915.8099999</v>
      </c>
      <c r="F24" s="768">
        <v>193740838.21000001</v>
      </c>
      <c r="G24" s="768">
        <v>2413244754.02</v>
      </c>
      <c r="H24" s="768">
        <v>1355967782.02</v>
      </c>
      <c r="I24" s="768">
        <v>1057276972</v>
      </c>
    </row>
    <row r="25" spans="2:9" x14ac:dyDescent="0.2">
      <c r="B25" s="274">
        <v>1</v>
      </c>
      <c r="C25" s="826" t="s">
        <v>408</v>
      </c>
      <c r="D25" s="273" t="s">
        <v>573</v>
      </c>
      <c r="E25" s="768">
        <v>9958814552.9699993</v>
      </c>
      <c r="F25" s="768">
        <v>889157227.11000001</v>
      </c>
      <c r="G25" s="768">
        <v>10847971780.08</v>
      </c>
      <c r="H25" s="768">
        <v>6025524253.3699999</v>
      </c>
      <c r="I25" s="768">
        <v>4822447526.71</v>
      </c>
    </row>
    <row r="26" spans="2:9" x14ac:dyDescent="0.2">
      <c r="B26" s="274">
        <v>1</v>
      </c>
      <c r="C26" s="826" t="s">
        <v>409</v>
      </c>
      <c r="D26" s="273" t="s">
        <v>574</v>
      </c>
      <c r="E26" s="768">
        <v>9958814552.9699993</v>
      </c>
      <c r="F26" s="768">
        <v>889157227.11000001</v>
      </c>
      <c r="G26" s="768">
        <v>10847971780.08</v>
      </c>
      <c r="H26" s="768">
        <v>6025524253.3699999</v>
      </c>
      <c r="I26" s="768">
        <v>4822447526.71</v>
      </c>
    </row>
    <row r="27" spans="2:9" x14ac:dyDescent="0.2">
      <c r="B27" s="274">
        <v>1</v>
      </c>
      <c r="C27" s="826" t="s">
        <v>410</v>
      </c>
      <c r="D27" s="273" t="s">
        <v>575</v>
      </c>
      <c r="E27" s="768">
        <v>2020371057.8599999</v>
      </c>
      <c r="F27" s="768">
        <v>191664832.63</v>
      </c>
      <c r="G27" s="768">
        <v>2212035890.4899998</v>
      </c>
      <c r="H27" s="768">
        <v>1406796445.21</v>
      </c>
      <c r="I27" s="768">
        <v>805239445.27999997</v>
      </c>
    </row>
    <row r="28" spans="2:9" x14ac:dyDescent="0.2">
      <c r="B28" s="274">
        <v>1</v>
      </c>
      <c r="C28" s="826" t="s">
        <v>507</v>
      </c>
      <c r="D28" s="273" t="s">
        <v>576</v>
      </c>
      <c r="E28" s="768">
        <v>1785670984.51</v>
      </c>
      <c r="F28" s="768">
        <v>159214870.34</v>
      </c>
      <c r="G28" s="768">
        <v>1944885854.8499999</v>
      </c>
      <c r="H28" s="768">
        <v>1086831506.3499999</v>
      </c>
      <c r="I28" s="768">
        <v>858054348.5</v>
      </c>
    </row>
    <row r="29" spans="2:9" x14ac:dyDescent="0.2">
      <c r="B29" s="274">
        <v>1</v>
      </c>
      <c r="C29" s="826" t="s">
        <v>508</v>
      </c>
      <c r="D29" s="273" t="s">
        <v>577</v>
      </c>
      <c r="E29" s="768">
        <v>1069824163.95</v>
      </c>
      <c r="F29" s="768">
        <v>92622421.099999994</v>
      </c>
      <c r="G29" s="768">
        <v>1162446585.05</v>
      </c>
      <c r="H29" s="768">
        <v>638213056.84000003</v>
      </c>
      <c r="I29" s="768">
        <v>524233528.20999998</v>
      </c>
    </row>
    <row r="30" spans="2:9" x14ac:dyDescent="0.2">
      <c r="B30" s="274">
        <v>1</v>
      </c>
      <c r="C30" s="826" t="s">
        <v>509</v>
      </c>
      <c r="D30" s="273" t="s">
        <v>578</v>
      </c>
      <c r="E30" s="768">
        <v>2613161300.0300002</v>
      </c>
      <c r="F30" s="768">
        <v>212653503.72999999</v>
      </c>
      <c r="G30" s="768">
        <v>2825814803.7600002</v>
      </c>
      <c r="H30" s="768">
        <v>1473741038.51</v>
      </c>
      <c r="I30" s="768">
        <v>1352073765.25</v>
      </c>
    </row>
    <row r="31" spans="2:9" x14ac:dyDescent="0.2">
      <c r="B31" s="274">
        <v>1</v>
      </c>
      <c r="C31" s="826" t="s">
        <v>510</v>
      </c>
      <c r="D31" s="273" t="s">
        <v>579</v>
      </c>
      <c r="E31" s="768">
        <v>2469787046.6199999</v>
      </c>
      <c r="F31" s="768">
        <v>233001599.31</v>
      </c>
      <c r="G31" s="768">
        <v>2702788645.9299998</v>
      </c>
      <c r="H31" s="768">
        <v>1419942206.46</v>
      </c>
      <c r="I31" s="768">
        <v>1282846439.47</v>
      </c>
    </row>
    <row r="32" spans="2:9" x14ac:dyDescent="0.2">
      <c r="B32" s="274">
        <v>1</v>
      </c>
      <c r="C32" s="826" t="s">
        <v>511</v>
      </c>
      <c r="D32" s="273" t="s">
        <v>1009</v>
      </c>
      <c r="E32" s="768">
        <v>20935065066.720001</v>
      </c>
      <c r="F32" s="768">
        <v>1708513916.6500001</v>
      </c>
      <c r="G32" s="768">
        <v>22643578983.369999</v>
      </c>
      <c r="H32" s="768">
        <v>11534246153.18</v>
      </c>
      <c r="I32" s="768">
        <v>11109332830.190001</v>
      </c>
    </row>
    <row r="33" spans="2:9" x14ac:dyDescent="0.2">
      <c r="B33" s="274">
        <v>1</v>
      </c>
      <c r="C33" s="826" t="s">
        <v>512</v>
      </c>
      <c r="D33" s="273" t="s">
        <v>581</v>
      </c>
      <c r="E33" s="768">
        <v>4603533188.4700003</v>
      </c>
      <c r="F33" s="768">
        <v>359023519.30000001</v>
      </c>
      <c r="G33" s="768">
        <v>4962556707.7700005</v>
      </c>
      <c r="H33" s="768">
        <v>2317609096.21</v>
      </c>
      <c r="I33" s="768">
        <v>2644947611.5599999</v>
      </c>
    </row>
    <row r="34" spans="2:9" x14ac:dyDescent="0.2">
      <c r="B34" s="274">
        <v>1</v>
      </c>
      <c r="C34" s="826" t="s">
        <v>513</v>
      </c>
      <c r="D34" s="273" t="s">
        <v>582</v>
      </c>
      <c r="E34" s="768">
        <v>1815941301.9100001</v>
      </c>
      <c r="F34" s="768">
        <v>127249169.31</v>
      </c>
      <c r="G34" s="768">
        <v>1943190471.22</v>
      </c>
      <c r="H34" s="768">
        <v>769796011.83000004</v>
      </c>
      <c r="I34" s="768">
        <v>1173394459.3900001</v>
      </c>
    </row>
    <row r="35" spans="2:9" x14ac:dyDescent="0.2">
      <c r="B35" s="274">
        <v>1</v>
      </c>
      <c r="C35" s="826" t="s">
        <v>514</v>
      </c>
      <c r="D35" s="273" t="s">
        <v>583</v>
      </c>
      <c r="E35" s="768">
        <v>1232557393.52</v>
      </c>
      <c r="F35" s="768">
        <v>98390121.329999998</v>
      </c>
      <c r="G35" s="768">
        <v>1330947514.8499999</v>
      </c>
      <c r="H35" s="768">
        <v>644822808.23000002</v>
      </c>
      <c r="I35" s="768">
        <v>686124706.62</v>
      </c>
    </row>
    <row r="36" spans="2:9" x14ac:dyDescent="0.2">
      <c r="B36" s="274">
        <v>1</v>
      </c>
      <c r="C36" s="826" t="s">
        <v>958</v>
      </c>
      <c r="D36" s="273" t="s">
        <v>584</v>
      </c>
      <c r="E36" s="768">
        <v>833446136.71000004</v>
      </c>
      <c r="F36" s="768">
        <v>68428340.769999996</v>
      </c>
      <c r="G36" s="768">
        <v>901874477.48000002</v>
      </c>
      <c r="H36" s="768">
        <v>451823783</v>
      </c>
      <c r="I36" s="768">
        <v>450050694.48000002</v>
      </c>
    </row>
    <row r="37" spans="2:9" x14ac:dyDescent="0.2">
      <c r="B37" s="274">
        <v>1</v>
      </c>
      <c r="C37" s="826" t="s">
        <v>959</v>
      </c>
      <c r="D37" s="273" t="s">
        <v>585</v>
      </c>
      <c r="E37" s="768">
        <v>721588356.33000004</v>
      </c>
      <c r="F37" s="768">
        <v>64955887.890000001</v>
      </c>
      <c r="G37" s="768">
        <v>786544244.22000003</v>
      </c>
      <c r="H37" s="768">
        <v>451166493.14999998</v>
      </c>
      <c r="I37" s="768">
        <v>335377751.06999999</v>
      </c>
    </row>
    <row r="38" spans="2:9" x14ac:dyDescent="0.2">
      <c r="B38" s="274">
        <v>1</v>
      </c>
      <c r="C38" s="826" t="s">
        <v>960</v>
      </c>
      <c r="D38" s="273" t="s">
        <v>586</v>
      </c>
      <c r="E38" s="768">
        <v>2713709991.1900001</v>
      </c>
      <c r="F38" s="768">
        <v>191330210.84</v>
      </c>
      <c r="G38" s="768">
        <v>2905040202.0300002</v>
      </c>
      <c r="H38" s="768">
        <v>1399812011</v>
      </c>
      <c r="I38" s="768">
        <v>1505228191.03</v>
      </c>
    </row>
    <row r="39" spans="2:9" x14ac:dyDescent="0.2">
      <c r="B39" s="274">
        <v>1</v>
      </c>
      <c r="C39" s="826" t="s">
        <v>961</v>
      </c>
      <c r="D39" s="273" t="s">
        <v>587</v>
      </c>
      <c r="E39" s="768">
        <v>5118204695.7700005</v>
      </c>
      <c r="F39" s="768">
        <v>416954068.35000002</v>
      </c>
      <c r="G39" s="768">
        <v>5535158764.1199999</v>
      </c>
      <c r="H39" s="768">
        <v>2773623018.2600002</v>
      </c>
      <c r="I39" s="768">
        <v>2761535745.8600001</v>
      </c>
    </row>
    <row r="40" spans="2:9" x14ac:dyDescent="0.2">
      <c r="B40" s="274">
        <v>1</v>
      </c>
      <c r="C40" s="826" t="s">
        <v>962</v>
      </c>
      <c r="D40" s="273" t="s">
        <v>588</v>
      </c>
      <c r="E40" s="768">
        <v>551275966.87</v>
      </c>
      <c r="F40" s="768">
        <v>44669775.030000001</v>
      </c>
      <c r="G40" s="768">
        <v>595945741.89999998</v>
      </c>
      <c r="H40" s="768">
        <v>276870803.35000002</v>
      </c>
      <c r="I40" s="768">
        <v>319074938.55000001</v>
      </c>
    </row>
    <row r="41" spans="2:9" x14ac:dyDescent="0.2">
      <c r="B41" s="274">
        <v>1</v>
      </c>
      <c r="C41" s="826" t="s">
        <v>963</v>
      </c>
      <c r="D41" s="273" t="s">
        <v>589</v>
      </c>
      <c r="E41" s="768">
        <v>1694366648.4000001</v>
      </c>
      <c r="F41" s="768">
        <v>126907120.25</v>
      </c>
      <c r="G41" s="768">
        <v>1821273768.6500001</v>
      </c>
      <c r="H41" s="768">
        <v>846138627.88999999</v>
      </c>
      <c r="I41" s="768">
        <v>975135140.75999999</v>
      </c>
    </row>
    <row r="42" spans="2:9" x14ac:dyDescent="0.2">
      <c r="B42" s="274">
        <v>1</v>
      </c>
      <c r="C42" s="826" t="s">
        <v>964</v>
      </c>
      <c r="D42" s="273" t="s">
        <v>0</v>
      </c>
      <c r="E42" s="768">
        <v>1072607384.37</v>
      </c>
      <c r="F42" s="768">
        <v>88901262.480000004</v>
      </c>
      <c r="G42" s="768">
        <v>1161508646.8499999</v>
      </c>
      <c r="H42" s="768">
        <v>584613526.02999997</v>
      </c>
      <c r="I42" s="768">
        <v>576895120.82000005</v>
      </c>
    </row>
    <row r="43" spans="2:9" x14ac:dyDescent="0.2">
      <c r="B43" s="274">
        <v>1</v>
      </c>
      <c r="C43" s="826" t="s">
        <v>965</v>
      </c>
      <c r="D43" s="273" t="s">
        <v>1</v>
      </c>
      <c r="E43" s="768">
        <v>1123885928.5999999</v>
      </c>
      <c r="F43" s="768">
        <v>99456273.25</v>
      </c>
      <c r="G43" s="768">
        <v>1223342201.8499999</v>
      </c>
      <c r="H43" s="768">
        <v>700116169.74000001</v>
      </c>
      <c r="I43" s="768">
        <v>523226032.11000001</v>
      </c>
    </row>
    <row r="44" spans="2:9" x14ac:dyDescent="0.2">
      <c r="B44" s="274">
        <v>1</v>
      </c>
      <c r="C44" s="826" t="s">
        <v>966</v>
      </c>
      <c r="D44" s="273" t="s">
        <v>2</v>
      </c>
      <c r="E44" s="768">
        <v>676068767.52999997</v>
      </c>
      <c r="F44" s="768">
        <v>57019637.340000004</v>
      </c>
      <c r="G44" s="768">
        <v>733088404.87</v>
      </c>
      <c r="H44" s="768">
        <v>365883891.25</v>
      </c>
      <c r="I44" s="768">
        <v>367204513.62</v>
      </c>
    </row>
    <row r="45" spans="2:9" x14ac:dyDescent="0.2">
      <c r="B45" s="274">
        <v>1</v>
      </c>
      <c r="C45" s="826" t="s">
        <v>967</v>
      </c>
      <c r="D45" s="273" t="s">
        <v>1102</v>
      </c>
      <c r="E45" s="768">
        <v>8499617191.29</v>
      </c>
      <c r="F45" s="768">
        <v>741206118.15999997</v>
      </c>
      <c r="G45" s="768">
        <v>9240823309.4500008</v>
      </c>
      <c r="H45" s="768">
        <v>5043202027.71</v>
      </c>
      <c r="I45" s="768">
        <v>4197621281.7399998</v>
      </c>
    </row>
    <row r="46" spans="2:9" x14ac:dyDescent="0.2">
      <c r="B46" s="274">
        <v>1</v>
      </c>
      <c r="C46" s="826" t="s">
        <v>968</v>
      </c>
      <c r="D46" s="273" t="s">
        <v>1010</v>
      </c>
      <c r="E46" s="768">
        <v>909925853.38</v>
      </c>
      <c r="F46" s="768">
        <v>97020033.400000006</v>
      </c>
      <c r="G46" s="768">
        <v>1006945886.78</v>
      </c>
      <c r="H46" s="768">
        <v>662805791.45000005</v>
      </c>
      <c r="I46" s="768">
        <v>344140095.32999998</v>
      </c>
    </row>
    <row r="47" spans="2:9" x14ac:dyDescent="0.2">
      <c r="B47" s="274">
        <v>1</v>
      </c>
      <c r="C47" s="826" t="s">
        <v>969</v>
      </c>
      <c r="D47" s="273" t="s">
        <v>1103</v>
      </c>
      <c r="E47" s="768">
        <v>1462961789.4000001</v>
      </c>
      <c r="F47" s="768">
        <v>118506034.02</v>
      </c>
      <c r="G47" s="768">
        <v>1581467823.4200001</v>
      </c>
      <c r="H47" s="768">
        <v>778842982.95000005</v>
      </c>
      <c r="I47" s="768">
        <v>802624840.47000003</v>
      </c>
    </row>
    <row r="48" spans="2:9" x14ac:dyDescent="0.2">
      <c r="B48" s="274">
        <v>1</v>
      </c>
      <c r="C48" s="826" t="s">
        <v>970</v>
      </c>
      <c r="D48" s="273" t="s">
        <v>1104</v>
      </c>
      <c r="E48" s="768">
        <v>916731913.16999996</v>
      </c>
      <c r="F48" s="768">
        <v>81320294.510000005</v>
      </c>
      <c r="G48" s="768">
        <v>998052207.67999995</v>
      </c>
      <c r="H48" s="768">
        <v>571342663.75999999</v>
      </c>
      <c r="I48" s="768">
        <v>426709543.92000002</v>
      </c>
    </row>
    <row r="49" spans="2:9" x14ac:dyDescent="0.2">
      <c r="B49" s="274">
        <v>1</v>
      </c>
      <c r="C49" s="826" t="s">
        <v>971</v>
      </c>
      <c r="D49" s="273" t="s">
        <v>1105</v>
      </c>
      <c r="E49" s="768">
        <v>1036081047.13</v>
      </c>
      <c r="F49" s="768">
        <v>99422713.709999993</v>
      </c>
      <c r="G49" s="768">
        <v>1135503760.8399999</v>
      </c>
      <c r="H49" s="768">
        <v>689842559.08000004</v>
      </c>
      <c r="I49" s="768">
        <v>445661201.75999999</v>
      </c>
    </row>
    <row r="50" spans="2:9" x14ac:dyDescent="0.2">
      <c r="B50" s="274">
        <v>1</v>
      </c>
      <c r="C50" s="826" t="s">
        <v>973</v>
      </c>
      <c r="D50" s="273" t="s">
        <v>1106</v>
      </c>
      <c r="E50" s="768">
        <v>1051410528.88</v>
      </c>
      <c r="F50" s="768">
        <v>85069736.530000001</v>
      </c>
      <c r="G50" s="768">
        <v>1136480265.4100001</v>
      </c>
      <c r="H50" s="768">
        <v>595505084.46000004</v>
      </c>
      <c r="I50" s="768">
        <v>540975180.95000005</v>
      </c>
    </row>
    <row r="51" spans="2:9" x14ac:dyDescent="0.2">
      <c r="B51" s="274">
        <v>1</v>
      </c>
      <c r="C51" s="826" t="s">
        <v>1222</v>
      </c>
      <c r="D51" s="273" t="s">
        <v>1107</v>
      </c>
      <c r="E51" s="768">
        <v>1633828264.02</v>
      </c>
      <c r="F51" s="768">
        <v>130211654.83</v>
      </c>
      <c r="G51" s="768">
        <v>1764039918.8499999</v>
      </c>
      <c r="H51" s="768">
        <v>876962461.95000005</v>
      </c>
      <c r="I51" s="768">
        <v>887077456.89999998</v>
      </c>
    </row>
    <row r="52" spans="2:9" x14ac:dyDescent="0.2">
      <c r="B52" s="274">
        <v>1</v>
      </c>
      <c r="C52" s="826" t="s">
        <v>1223</v>
      </c>
      <c r="D52" s="273" t="s">
        <v>1108</v>
      </c>
      <c r="E52" s="768">
        <v>752737454.54999995</v>
      </c>
      <c r="F52" s="768">
        <v>60537578.439999998</v>
      </c>
      <c r="G52" s="768">
        <v>813275032.99000001</v>
      </c>
      <c r="H52" s="768">
        <v>400270518.97000003</v>
      </c>
      <c r="I52" s="768">
        <v>413004514.01999998</v>
      </c>
    </row>
    <row r="53" spans="2:9" x14ac:dyDescent="0.2">
      <c r="B53" s="274">
        <v>1</v>
      </c>
      <c r="C53" s="826" t="s">
        <v>1011</v>
      </c>
      <c r="D53" s="273" t="s">
        <v>1012</v>
      </c>
      <c r="E53" s="768">
        <v>735940340.75999999</v>
      </c>
      <c r="F53" s="768">
        <v>69118072.719999999</v>
      </c>
      <c r="G53" s="768">
        <v>805058413.48000002</v>
      </c>
      <c r="H53" s="768">
        <v>467629965.08999997</v>
      </c>
      <c r="I53" s="768">
        <v>337428448.38999999</v>
      </c>
    </row>
    <row r="54" spans="2:9" x14ac:dyDescent="0.2">
      <c r="B54" s="274">
        <v>1</v>
      </c>
      <c r="C54" s="826" t="s">
        <v>1224</v>
      </c>
      <c r="D54" s="273" t="s">
        <v>1174</v>
      </c>
      <c r="E54" s="768">
        <v>18291183444.549999</v>
      </c>
      <c r="F54" s="768">
        <v>1473312745.5599999</v>
      </c>
      <c r="G54" s="768">
        <v>19764496190.110001</v>
      </c>
      <c r="H54" s="768">
        <v>9506178805.4799995</v>
      </c>
      <c r="I54" s="768">
        <v>10258317384.629999</v>
      </c>
    </row>
    <row r="55" spans="2:9" x14ac:dyDescent="0.2">
      <c r="B55" s="274">
        <v>1</v>
      </c>
      <c r="C55" s="826" t="s">
        <v>1225</v>
      </c>
      <c r="D55" s="273" t="s">
        <v>1175</v>
      </c>
      <c r="E55" s="768">
        <v>9763545539.9300003</v>
      </c>
      <c r="F55" s="768">
        <v>822428496.27999997</v>
      </c>
      <c r="G55" s="768">
        <v>10585974036.209999</v>
      </c>
      <c r="H55" s="768">
        <v>4780565078.1099997</v>
      </c>
      <c r="I55" s="768">
        <v>5805408958.1000004</v>
      </c>
    </row>
    <row r="56" spans="2:9" x14ac:dyDescent="0.2">
      <c r="B56" s="274">
        <v>1</v>
      </c>
      <c r="C56" s="826" t="s">
        <v>1226</v>
      </c>
      <c r="D56" s="273" t="s">
        <v>1176</v>
      </c>
      <c r="E56" s="768">
        <v>5108556110.5900002</v>
      </c>
      <c r="F56" s="768">
        <v>455436853.48000002</v>
      </c>
      <c r="G56" s="768">
        <v>5563992964.0699997</v>
      </c>
      <c r="H56" s="768">
        <v>2399057274.71</v>
      </c>
      <c r="I56" s="768">
        <v>3164935689.3600001</v>
      </c>
    </row>
    <row r="57" spans="2:9" x14ac:dyDescent="0.2">
      <c r="B57" s="274">
        <v>1</v>
      </c>
      <c r="C57" s="826" t="s">
        <v>1227</v>
      </c>
      <c r="D57" s="273" t="s">
        <v>1177</v>
      </c>
      <c r="E57" s="768">
        <v>1728040317.6500001</v>
      </c>
      <c r="F57" s="768">
        <v>159366958.77000001</v>
      </c>
      <c r="G57" s="768">
        <v>1887407276.4200001</v>
      </c>
      <c r="H57" s="768">
        <v>1035486858.9</v>
      </c>
      <c r="I57" s="768">
        <v>851920417.51999998</v>
      </c>
    </row>
    <row r="58" spans="2:9" x14ac:dyDescent="0.2">
      <c r="B58" s="274">
        <v>1</v>
      </c>
      <c r="C58" s="826" t="s">
        <v>21</v>
      </c>
      <c r="D58" s="273" t="s">
        <v>1178</v>
      </c>
      <c r="E58" s="768">
        <v>547001976.42999995</v>
      </c>
      <c r="F58" s="768">
        <v>48777901.920000002</v>
      </c>
      <c r="G58" s="768">
        <v>595779878.35000002</v>
      </c>
      <c r="H58" s="768">
        <v>331755433.67000002</v>
      </c>
      <c r="I58" s="768">
        <v>264024444.68000001</v>
      </c>
    </row>
    <row r="59" spans="2:9" x14ac:dyDescent="0.2">
      <c r="B59" s="274">
        <v>1</v>
      </c>
      <c r="C59" s="826" t="s">
        <v>22</v>
      </c>
      <c r="D59" s="273" t="s">
        <v>1179</v>
      </c>
      <c r="E59" s="768">
        <v>1023921107.77</v>
      </c>
      <c r="F59" s="768">
        <v>76825704.560000002</v>
      </c>
      <c r="G59" s="768">
        <v>1100746812.3299999</v>
      </c>
      <c r="H59" s="768">
        <v>541911477.70000005</v>
      </c>
      <c r="I59" s="768">
        <v>558835334.63</v>
      </c>
    </row>
    <row r="60" spans="2:9" x14ac:dyDescent="0.2">
      <c r="B60" s="274">
        <v>1</v>
      </c>
      <c r="C60" s="826" t="s">
        <v>23</v>
      </c>
      <c r="D60" s="273" t="s">
        <v>1013</v>
      </c>
      <c r="E60" s="768">
        <v>1356026027.49</v>
      </c>
      <c r="F60" s="768">
        <v>82021077.549999997</v>
      </c>
      <c r="G60" s="768">
        <v>1438047105.04</v>
      </c>
      <c r="H60" s="768">
        <v>472354033.13</v>
      </c>
      <c r="I60" s="768">
        <v>965693071.90999997</v>
      </c>
    </row>
    <row r="61" spans="2:9" x14ac:dyDescent="0.2">
      <c r="B61" s="274">
        <v>1</v>
      </c>
      <c r="C61" s="826" t="s">
        <v>24</v>
      </c>
      <c r="D61" s="273" t="s">
        <v>1180</v>
      </c>
      <c r="E61" s="768">
        <v>3946396126.4200001</v>
      </c>
      <c r="F61" s="768">
        <v>292043018.25999999</v>
      </c>
      <c r="G61" s="768">
        <v>4238439144.6799998</v>
      </c>
      <c r="H61" s="768">
        <v>2112561321.96</v>
      </c>
      <c r="I61" s="768">
        <v>2125877822.72</v>
      </c>
    </row>
    <row r="62" spans="2:9" x14ac:dyDescent="0.2">
      <c r="B62" s="274">
        <v>1</v>
      </c>
      <c r="C62" s="826" t="s">
        <v>25</v>
      </c>
      <c r="D62" s="273" t="s">
        <v>1181</v>
      </c>
      <c r="E62" s="768">
        <v>2662437013.1999998</v>
      </c>
      <c r="F62" s="768">
        <v>214664319.91999999</v>
      </c>
      <c r="G62" s="768">
        <v>2877101333.1199999</v>
      </c>
      <c r="H62" s="768">
        <v>1622789400.0999999</v>
      </c>
      <c r="I62" s="768">
        <v>1254311933.02</v>
      </c>
    </row>
    <row r="63" spans="2:9" x14ac:dyDescent="0.2">
      <c r="B63" s="274">
        <v>1</v>
      </c>
      <c r="C63" s="826" t="s">
        <v>26</v>
      </c>
      <c r="D63" s="273" t="s">
        <v>1182</v>
      </c>
      <c r="E63" s="768">
        <v>1918804765</v>
      </c>
      <c r="F63" s="768">
        <v>144176911.09999999</v>
      </c>
      <c r="G63" s="768">
        <v>2062981676.0999999</v>
      </c>
      <c r="H63" s="768">
        <v>990263005.30999994</v>
      </c>
      <c r="I63" s="768">
        <v>1072718670.79</v>
      </c>
    </row>
    <row r="64" spans="2:9" x14ac:dyDescent="0.2">
      <c r="B64" s="274">
        <v>1</v>
      </c>
      <c r="C64" s="826" t="s">
        <v>27</v>
      </c>
      <c r="D64" s="273" t="s">
        <v>1014</v>
      </c>
      <c r="E64" s="768">
        <v>9293286819.6700001</v>
      </c>
      <c r="F64" s="768">
        <v>802797546.22000003</v>
      </c>
      <c r="G64" s="768">
        <v>10096084365.889999</v>
      </c>
      <c r="H64" s="768">
        <v>4861209989.7200003</v>
      </c>
      <c r="I64" s="768">
        <v>5234874376.1700001</v>
      </c>
    </row>
    <row r="65" spans="2:9" x14ac:dyDescent="0.2">
      <c r="B65" s="274">
        <v>1</v>
      </c>
      <c r="C65" s="826" t="s">
        <v>28</v>
      </c>
      <c r="D65" s="273" t="s">
        <v>1183</v>
      </c>
      <c r="E65" s="768">
        <v>9293286819.6700001</v>
      </c>
      <c r="F65" s="768">
        <v>802797546.22000003</v>
      </c>
      <c r="G65" s="768">
        <v>10096084365.889999</v>
      </c>
      <c r="H65" s="768">
        <v>4861209989.7200003</v>
      </c>
      <c r="I65" s="768">
        <v>5234874376.1700001</v>
      </c>
    </row>
    <row r="66" spans="2:9" x14ac:dyDescent="0.2">
      <c r="B66" s="274">
        <v>1</v>
      </c>
      <c r="C66" s="826" t="s">
        <v>29</v>
      </c>
      <c r="D66" s="273" t="s">
        <v>1184</v>
      </c>
      <c r="E66" s="768">
        <v>1475403399.6900001</v>
      </c>
      <c r="F66" s="768">
        <v>119235085.92</v>
      </c>
      <c r="G66" s="768">
        <v>1594638485.6099999</v>
      </c>
      <c r="H66" s="768">
        <v>776261374.25</v>
      </c>
      <c r="I66" s="768">
        <v>818377111.36000001</v>
      </c>
    </row>
    <row r="67" spans="2:9" x14ac:dyDescent="0.2">
      <c r="B67" s="274">
        <v>1</v>
      </c>
      <c r="C67" s="826" t="s">
        <v>395</v>
      </c>
      <c r="D67" s="273" t="s">
        <v>1185</v>
      </c>
      <c r="E67" s="768">
        <v>741539452.95000005</v>
      </c>
      <c r="F67" s="768">
        <v>126385456.62</v>
      </c>
      <c r="G67" s="768">
        <v>867924909.57000005</v>
      </c>
      <c r="H67" s="768">
        <v>332564302.94999999</v>
      </c>
      <c r="I67" s="768">
        <v>535360606.62</v>
      </c>
    </row>
    <row r="68" spans="2:9" x14ac:dyDescent="0.2">
      <c r="B68" s="274">
        <v>1</v>
      </c>
      <c r="C68" s="826" t="s">
        <v>396</v>
      </c>
      <c r="D68" s="273" t="s">
        <v>1186</v>
      </c>
      <c r="E68" s="768">
        <v>1421050065.1400001</v>
      </c>
      <c r="F68" s="768">
        <v>117931040.53</v>
      </c>
      <c r="G68" s="768">
        <v>1538981105.6700001</v>
      </c>
      <c r="H68" s="768">
        <v>818595840.92999995</v>
      </c>
      <c r="I68" s="768">
        <v>720385264.74000001</v>
      </c>
    </row>
    <row r="69" spans="2:9" x14ac:dyDescent="0.2">
      <c r="B69" s="274">
        <v>1</v>
      </c>
      <c r="C69" s="826" t="s">
        <v>397</v>
      </c>
      <c r="D69" s="273" t="s">
        <v>398</v>
      </c>
      <c r="E69" s="768">
        <v>828692144.90999997</v>
      </c>
      <c r="F69" s="768">
        <v>59758827.850000001</v>
      </c>
      <c r="G69" s="768">
        <v>888450972.75999999</v>
      </c>
      <c r="H69" s="768">
        <v>408265861.00999999</v>
      </c>
      <c r="I69" s="768">
        <v>480185111.75</v>
      </c>
    </row>
    <row r="70" spans="2:9" x14ac:dyDescent="0.2">
      <c r="B70" s="274">
        <v>1</v>
      </c>
      <c r="C70" s="826" t="s">
        <v>399</v>
      </c>
      <c r="D70" s="273" t="s">
        <v>1187</v>
      </c>
      <c r="E70" s="768">
        <v>981794259.32000005</v>
      </c>
      <c r="F70" s="768">
        <v>67285794.959999993</v>
      </c>
      <c r="G70" s="768">
        <v>1049080054.28</v>
      </c>
      <c r="H70" s="768">
        <v>420428604.69</v>
      </c>
      <c r="I70" s="768">
        <v>628651449.59000003</v>
      </c>
    </row>
    <row r="71" spans="2:9" x14ac:dyDescent="0.2">
      <c r="B71" s="274">
        <v>1</v>
      </c>
      <c r="C71" s="826" t="s">
        <v>931</v>
      </c>
      <c r="D71" s="273" t="s">
        <v>1188</v>
      </c>
      <c r="E71" s="768">
        <v>1492887249.6400001</v>
      </c>
      <c r="F71" s="768">
        <v>122305493.93000001</v>
      </c>
      <c r="G71" s="768">
        <v>1615192743.5699999</v>
      </c>
      <c r="H71" s="768">
        <v>773684342.64999998</v>
      </c>
      <c r="I71" s="768">
        <v>841508400.91999996</v>
      </c>
    </row>
    <row r="72" spans="2:9" x14ac:dyDescent="0.2">
      <c r="B72" s="274">
        <v>1</v>
      </c>
      <c r="C72" s="826" t="s">
        <v>400</v>
      </c>
      <c r="D72" s="273" t="s">
        <v>2360</v>
      </c>
      <c r="E72" s="768">
        <v>449428696.31999999</v>
      </c>
      <c r="F72" s="768">
        <v>32356403.050000001</v>
      </c>
      <c r="G72" s="768">
        <v>481785099.37</v>
      </c>
      <c r="H72" s="768">
        <v>240121012.15000001</v>
      </c>
      <c r="I72" s="768">
        <v>241664087.22</v>
      </c>
    </row>
    <row r="73" spans="2:9" x14ac:dyDescent="0.2">
      <c r="B73" s="274">
        <v>1</v>
      </c>
      <c r="C73" s="826" t="s">
        <v>401</v>
      </c>
      <c r="D73" s="273" t="s">
        <v>1253</v>
      </c>
      <c r="E73" s="768">
        <v>1360454543.6700001</v>
      </c>
      <c r="F73" s="768">
        <v>123421612.02</v>
      </c>
      <c r="G73" s="768">
        <v>1483876155.6900001</v>
      </c>
      <c r="H73" s="768">
        <v>880960710.04999995</v>
      </c>
      <c r="I73" s="768">
        <v>602915445.63999999</v>
      </c>
    </row>
    <row r="74" spans="2:9" x14ac:dyDescent="0.2">
      <c r="B74" s="274">
        <v>1</v>
      </c>
      <c r="C74" s="826" t="s">
        <v>402</v>
      </c>
      <c r="D74" s="273" t="s">
        <v>1254</v>
      </c>
      <c r="E74" s="768">
        <v>542037008.02999997</v>
      </c>
      <c r="F74" s="768">
        <v>34117831.340000004</v>
      </c>
      <c r="G74" s="768">
        <v>576154839.37</v>
      </c>
      <c r="H74" s="768">
        <v>210327941.03999999</v>
      </c>
      <c r="I74" s="768">
        <v>365826898.32999998</v>
      </c>
    </row>
    <row r="75" spans="2:9" x14ac:dyDescent="0.2">
      <c r="B75" s="274">
        <v>1</v>
      </c>
      <c r="C75" s="826" t="s">
        <v>403</v>
      </c>
      <c r="D75" s="273" t="s">
        <v>1015</v>
      </c>
      <c r="E75" s="768">
        <v>3668661022.29</v>
      </c>
      <c r="F75" s="768">
        <v>375604905.87</v>
      </c>
      <c r="G75" s="768">
        <v>4044265928.1599998</v>
      </c>
      <c r="H75" s="768">
        <v>2763739896</v>
      </c>
      <c r="I75" s="768">
        <v>1280526032.1600001</v>
      </c>
    </row>
    <row r="76" spans="2:9" x14ac:dyDescent="0.2">
      <c r="B76" s="274">
        <v>1</v>
      </c>
      <c r="C76" s="826" t="s">
        <v>932</v>
      </c>
      <c r="D76" s="273" t="s">
        <v>1255</v>
      </c>
      <c r="E76" s="768">
        <v>3269757635.6199999</v>
      </c>
      <c r="F76" s="768">
        <v>277389920.81</v>
      </c>
      <c r="G76" s="768">
        <v>3547147556.4299998</v>
      </c>
      <c r="H76" s="768">
        <v>2000255987.6300001</v>
      </c>
      <c r="I76" s="768">
        <v>1546891568.8</v>
      </c>
    </row>
    <row r="77" spans="2:9" x14ac:dyDescent="0.2">
      <c r="B77" s="274">
        <v>1</v>
      </c>
      <c r="C77" s="826" t="s">
        <v>933</v>
      </c>
      <c r="D77" s="273" t="s">
        <v>1256</v>
      </c>
      <c r="E77" s="768">
        <v>3269757635.6199999</v>
      </c>
      <c r="F77" s="768">
        <v>277389920.81</v>
      </c>
      <c r="G77" s="768">
        <v>3547147556.4299998</v>
      </c>
      <c r="H77" s="768">
        <v>2000255987.6300001</v>
      </c>
      <c r="I77" s="768">
        <v>1546891568.8</v>
      </c>
    </row>
    <row r="78" spans="2:9" x14ac:dyDescent="0.2">
      <c r="B78" s="274">
        <v>1</v>
      </c>
      <c r="C78" s="826" t="s">
        <v>1357</v>
      </c>
      <c r="D78" s="273" t="s">
        <v>1257</v>
      </c>
      <c r="E78" s="768">
        <v>637934445.19000006</v>
      </c>
      <c r="F78" s="768">
        <v>43718985.880000003</v>
      </c>
      <c r="G78" s="768">
        <v>681653431.07000005</v>
      </c>
      <c r="H78" s="768">
        <v>313336861.23000002</v>
      </c>
      <c r="I78" s="768">
        <v>368316569.83999997</v>
      </c>
    </row>
    <row r="79" spans="2:9" x14ac:dyDescent="0.2">
      <c r="B79" s="274">
        <v>1</v>
      </c>
      <c r="C79" s="826" t="s">
        <v>934</v>
      </c>
      <c r="D79" s="273" t="s">
        <v>1258</v>
      </c>
      <c r="E79" s="768">
        <v>1234979726.53</v>
      </c>
      <c r="F79" s="768">
        <v>119697548.69</v>
      </c>
      <c r="G79" s="768">
        <v>1354677275.22</v>
      </c>
      <c r="H79" s="768">
        <v>825591435.89999998</v>
      </c>
      <c r="I79" s="768">
        <v>529085839.31999999</v>
      </c>
    </row>
    <row r="80" spans="2:9" x14ac:dyDescent="0.2">
      <c r="B80" s="274">
        <v>1</v>
      </c>
      <c r="C80" s="826" t="s">
        <v>1358</v>
      </c>
      <c r="D80" s="273" t="s">
        <v>1259</v>
      </c>
      <c r="E80" s="768">
        <v>729382660.13</v>
      </c>
      <c r="F80" s="768">
        <v>60624800.5</v>
      </c>
      <c r="G80" s="768">
        <v>790007460.63</v>
      </c>
      <c r="H80" s="768">
        <v>429163254.97000003</v>
      </c>
      <c r="I80" s="768">
        <v>360844205.66000003</v>
      </c>
    </row>
    <row r="81" spans="2:9" x14ac:dyDescent="0.2">
      <c r="B81" s="274">
        <v>1</v>
      </c>
      <c r="C81" s="826" t="s">
        <v>1359</v>
      </c>
      <c r="D81" s="273" t="s">
        <v>1260</v>
      </c>
      <c r="E81" s="768">
        <v>667460803.76999998</v>
      </c>
      <c r="F81" s="768">
        <v>53348585.740000002</v>
      </c>
      <c r="G81" s="768">
        <v>720809389.50999999</v>
      </c>
      <c r="H81" s="768">
        <v>432164435.52999997</v>
      </c>
      <c r="I81" s="768">
        <v>288644953.98000002</v>
      </c>
    </row>
    <row r="82" spans="2:9" x14ac:dyDescent="0.2">
      <c r="B82" s="274">
        <v>1</v>
      </c>
      <c r="C82" s="826" t="s">
        <v>1315</v>
      </c>
      <c r="D82" s="273" t="s">
        <v>1261</v>
      </c>
      <c r="E82" s="768">
        <v>1105000000</v>
      </c>
      <c r="F82" s="768">
        <v>-35587778.43</v>
      </c>
      <c r="G82" s="768">
        <v>1069412221.5700001</v>
      </c>
      <c r="H82" s="768">
        <v>1105017854.1900001</v>
      </c>
      <c r="I82" s="768">
        <v>-35605632.619999997</v>
      </c>
    </row>
    <row r="83" spans="2:9" x14ac:dyDescent="0.2">
      <c r="B83" s="274">
        <v>1</v>
      </c>
      <c r="C83" s="826" t="s">
        <v>693</v>
      </c>
      <c r="D83" s="273" t="s">
        <v>802</v>
      </c>
      <c r="E83" s="768">
        <v>0</v>
      </c>
      <c r="F83" s="768">
        <v>0</v>
      </c>
      <c r="G83" s="768">
        <v>0</v>
      </c>
      <c r="H83" s="768">
        <v>0</v>
      </c>
      <c r="I83" s="768">
        <v>0</v>
      </c>
    </row>
    <row r="84" spans="2:9" x14ac:dyDescent="0.2">
      <c r="B84" s="274">
        <v>1</v>
      </c>
      <c r="C84" s="826" t="s">
        <v>1456</v>
      </c>
      <c r="D84" s="273" t="s">
        <v>580</v>
      </c>
      <c r="E84" s="768">
        <v>0</v>
      </c>
      <c r="F84" s="768">
        <v>8942640.4100000001</v>
      </c>
      <c r="G84" s="768">
        <v>8942640.4100000001</v>
      </c>
      <c r="H84" s="768">
        <v>0</v>
      </c>
      <c r="I84" s="768">
        <v>8942640.4100000001</v>
      </c>
    </row>
    <row r="85" spans="2:9" x14ac:dyDescent="0.2">
      <c r="B85" s="274">
        <v>1</v>
      </c>
      <c r="C85" s="826" t="s">
        <v>1464</v>
      </c>
      <c r="D85" s="273" t="s">
        <v>114</v>
      </c>
      <c r="E85" s="768">
        <v>0</v>
      </c>
      <c r="F85" s="768">
        <v>8942640.4100000001</v>
      </c>
      <c r="G85" s="768">
        <v>8942640.4100000001</v>
      </c>
      <c r="H85" s="768">
        <v>0</v>
      </c>
      <c r="I85" s="768">
        <v>8942640.4100000001</v>
      </c>
    </row>
    <row r="86" spans="2:9" x14ac:dyDescent="0.2">
      <c r="B86" s="274">
        <v>1</v>
      </c>
      <c r="C86" s="826" t="s">
        <v>726</v>
      </c>
      <c r="D86" s="273" t="s">
        <v>727</v>
      </c>
      <c r="E86" s="768">
        <v>0</v>
      </c>
      <c r="F86" s="768">
        <v>-8942640.4100000001</v>
      </c>
      <c r="G86" s="768">
        <v>-8942640.4100000001</v>
      </c>
      <c r="H86" s="768">
        <v>0</v>
      </c>
      <c r="I86" s="768">
        <v>-8942640.4100000001</v>
      </c>
    </row>
    <row r="88" spans="2:9" s="771" customFormat="1" x14ac:dyDescent="0.2">
      <c r="B88" s="766">
        <v>1</v>
      </c>
      <c r="C88" s="824" t="s">
        <v>404</v>
      </c>
      <c r="D88" s="771" t="s">
        <v>1262</v>
      </c>
      <c r="E88" s="825">
        <v>34246858602.919998</v>
      </c>
      <c r="F88" s="825">
        <v>-547970629.87</v>
      </c>
      <c r="G88" s="825">
        <v>33698887973.049999</v>
      </c>
      <c r="H88" s="825">
        <v>16266893341.34</v>
      </c>
      <c r="I88" s="825">
        <v>17431994631.709999</v>
      </c>
    </row>
    <row r="89" spans="2:9" x14ac:dyDescent="0.2">
      <c r="B89" s="274">
        <v>1</v>
      </c>
      <c r="C89" s="826" t="s">
        <v>655</v>
      </c>
      <c r="D89" s="273" t="s">
        <v>1263</v>
      </c>
      <c r="E89" s="768">
        <v>17399077392.200001</v>
      </c>
      <c r="F89" s="768">
        <v>-1835858427.9300001</v>
      </c>
      <c r="G89" s="768">
        <v>15563218964.27</v>
      </c>
      <c r="H89" s="768">
        <v>6117985941.7399998</v>
      </c>
      <c r="I89" s="768">
        <v>9445233022.5300007</v>
      </c>
    </row>
    <row r="90" spans="2:9" x14ac:dyDescent="0.2">
      <c r="B90" s="274">
        <v>1</v>
      </c>
      <c r="C90" s="826" t="s">
        <v>752</v>
      </c>
      <c r="D90" s="273" t="s">
        <v>1264</v>
      </c>
      <c r="E90" s="768">
        <v>7699141101.9200001</v>
      </c>
      <c r="F90" s="768">
        <v>-2550067741.1700001</v>
      </c>
      <c r="G90" s="768">
        <v>5149073360.75</v>
      </c>
      <c r="H90" s="768">
        <v>847306260.88</v>
      </c>
      <c r="I90" s="768">
        <v>4301767099.8699999</v>
      </c>
    </row>
    <row r="91" spans="2:9" x14ac:dyDescent="0.2">
      <c r="B91" s="274">
        <v>1</v>
      </c>
      <c r="C91" s="826" t="s">
        <v>1360</v>
      </c>
      <c r="D91" s="273" t="s">
        <v>1265</v>
      </c>
      <c r="E91" s="768">
        <v>7225320101.9200001</v>
      </c>
      <c r="F91" s="768">
        <v>-2550067741.1700001</v>
      </c>
      <c r="G91" s="768">
        <v>4675252360.75</v>
      </c>
      <c r="H91" s="768">
        <v>779825121.08000004</v>
      </c>
      <c r="I91" s="768">
        <v>3895427239.6700001</v>
      </c>
    </row>
    <row r="92" spans="2:9" x14ac:dyDescent="0.2">
      <c r="B92" s="274">
        <v>1</v>
      </c>
      <c r="C92" s="826" t="s">
        <v>1361</v>
      </c>
      <c r="D92" s="273" t="s">
        <v>1266</v>
      </c>
      <c r="E92" s="768">
        <v>30000000</v>
      </c>
      <c r="F92" s="768">
        <v>0</v>
      </c>
      <c r="G92" s="768">
        <v>30000000</v>
      </c>
      <c r="H92" s="768">
        <v>9146986.75</v>
      </c>
      <c r="I92" s="768">
        <v>20853013.25</v>
      </c>
    </row>
    <row r="93" spans="2:9" x14ac:dyDescent="0.2">
      <c r="B93" s="274">
        <v>1</v>
      </c>
      <c r="C93" s="826" t="s">
        <v>1316</v>
      </c>
      <c r="D93" s="273" t="s">
        <v>1267</v>
      </c>
      <c r="E93" s="768">
        <v>200000000</v>
      </c>
      <c r="F93" s="768">
        <v>0</v>
      </c>
      <c r="G93" s="768">
        <v>200000000</v>
      </c>
      <c r="H93" s="768">
        <v>2566052.2000000002</v>
      </c>
      <c r="I93" s="768">
        <v>197433947.80000001</v>
      </c>
    </row>
    <row r="94" spans="2:9" x14ac:dyDescent="0.2">
      <c r="B94" s="274">
        <v>1</v>
      </c>
      <c r="C94" s="826" t="s">
        <v>939</v>
      </c>
      <c r="D94" s="273" t="s">
        <v>1016</v>
      </c>
      <c r="E94" s="768">
        <v>226967000</v>
      </c>
      <c r="F94" s="768">
        <v>0</v>
      </c>
      <c r="G94" s="768">
        <v>226967000</v>
      </c>
      <c r="H94" s="768">
        <v>55018785.350000001</v>
      </c>
      <c r="I94" s="768">
        <v>171948214.65000001</v>
      </c>
    </row>
    <row r="95" spans="2:9" x14ac:dyDescent="0.2">
      <c r="B95" s="274">
        <v>1</v>
      </c>
      <c r="C95" s="826" t="s">
        <v>1017</v>
      </c>
      <c r="D95" s="273" t="s">
        <v>1018</v>
      </c>
      <c r="E95" s="768">
        <v>16854000</v>
      </c>
      <c r="F95" s="768">
        <v>0</v>
      </c>
      <c r="G95" s="768">
        <v>16854000</v>
      </c>
      <c r="H95" s="768">
        <v>749315.5</v>
      </c>
      <c r="I95" s="768">
        <v>16104684.5</v>
      </c>
    </row>
    <row r="96" spans="2:9" x14ac:dyDescent="0.2">
      <c r="B96" s="274">
        <v>1</v>
      </c>
      <c r="C96" s="826" t="s">
        <v>656</v>
      </c>
      <c r="D96" s="273" t="s">
        <v>1019</v>
      </c>
      <c r="E96" s="768">
        <v>1601555031.02</v>
      </c>
      <c r="F96" s="768">
        <v>80689220.459999993</v>
      </c>
      <c r="G96" s="768">
        <v>1682244251.48</v>
      </c>
      <c r="H96" s="768">
        <v>902457906.13</v>
      </c>
      <c r="I96" s="768">
        <v>779786345.35000002</v>
      </c>
    </row>
    <row r="97" spans="2:9" x14ac:dyDescent="0.2">
      <c r="B97" s="274">
        <v>1</v>
      </c>
      <c r="C97" s="826" t="s">
        <v>657</v>
      </c>
      <c r="D97" s="273" t="s">
        <v>1020</v>
      </c>
      <c r="E97" s="768">
        <v>3869520422.2800002</v>
      </c>
      <c r="F97" s="768">
        <v>298724087.88</v>
      </c>
      <c r="G97" s="768">
        <v>4168244510.1599998</v>
      </c>
      <c r="H97" s="768">
        <v>2052073195.9400001</v>
      </c>
      <c r="I97" s="768">
        <v>2116171314.22</v>
      </c>
    </row>
    <row r="98" spans="2:9" x14ac:dyDescent="0.2">
      <c r="B98" s="274">
        <v>1</v>
      </c>
      <c r="C98" s="826" t="s">
        <v>658</v>
      </c>
      <c r="D98" s="273" t="s">
        <v>1268</v>
      </c>
      <c r="E98" s="768">
        <v>805068350</v>
      </c>
      <c r="F98" s="768">
        <v>65000000</v>
      </c>
      <c r="G98" s="768">
        <v>870068350</v>
      </c>
      <c r="H98" s="768">
        <v>332983496.48000002</v>
      </c>
      <c r="I98" s="768">
        <v>537084853.51999998</v>
      </c>
    </row>
    <row r="99" spans="2:9" x14ac:dyDescent="0.2">
      <c r="B99" s="274">
        <v>1</v>
      </c>
      <c r="C99" s="826" t="s">
        <v>659</v>
      </c>
      <c r="D99" s="273" t="s">
        <v>252</v>
      </c>
      <c r="E99" s="768">
        <v>491465962.64999998</v>
      </c>
      <c r="F99" s="768">
        <v>35856476.100000001</v>
      </c>
      <c r="G99" s="768">
        <v>527322438.75</v>
      </c>
      <c r="H99" s="768">
        <v>263896260.83000001</v>
      </c>
      <c r="I99" s="768">
        <v>263426177.91999999</v>
      </c>
    </row>
    <row r="100" spans="2:9" x14ac:dyDescent="0.2">
      <c r="B100" s="274">
        <v>1</v>
      </c>
      <c r="C100" s="826" t="s">
        <v>660</v>
      </c>
      <c r="D100" s="273" t="s">
        <v>1269</v>
      </c>
      <c r="E100" s="768">
        <v>1542704793.9000001</v>
      </c>
      <c r="F100" s="768">
        <v>132935286.68000001</v>
      </c>
      <c r="G100" s="768">
        <v>1675640080.5799999</v>
      </c>
      <c r="H100" s="768">
        <v>938200559</v>
      </c>
      <c r="I100" s="768">
        <v>737439521.58000004</v>
      </c>
    </row>
    <row r="101" spans="2:9" x14ac:dyDescent="0.2">
      <c r="B101" s="274">
        <v>1</v>
      </c>
      <c r="C101" s="826" t="s">
        <v>661</v>
      </c>
      <c r="D101" s="273" t="s">
        <v>1270</v>
      </c>
      <c r="E101" s="768">
        <v>508442763.04000002</v>
      </c>
      <c r="F101" s="768">
        <v>38376445.770000003</v>
      </c>
      <c r="G101" s="768">
        <v>546819208.80999994</v>
      </c>
      <c r="H101" s="768">
        <v>290974529.42000002</v>
      </c>
      <c r="I101" s="768">
        <v>255844679.38999999</v>
      </c>
    </row>
    <row r="102" spans="2:9" x14ac:dyDescent="0.2">
      <c r="B102" s="274">
        <v>1</v>
      </c>
      <c r="C102" s="826" t="s">
        <v>662</v>
      </c>
      <c r="D102" s="273" t="s">
        <v>1271</v>
      </c>
      <c r="E102" s="768">
        <v>296322025.91000003</v>
      </c>
      <c r="F102" s="768">
        <v>21285297.539999999</v>
      </c>
      <c r="G102" s="768">
        <v>317607323.44999999</v>
      </c>
      <c r="H102" s="768">
        <v>167527587.16999999</v>
      </c>
      <c r="I102" s="768">
        <v>150079736.28</v>
      </c>
    </row>
    <row r="103" spans="2:9" x14ac:dyDescent="0.2">
      <c r="B103" s="274">
        <v>1</v>
      </c>
      <c r="C103" s="826" t="s">
        <v>663</v>
      </c>
      <c r="D103" s="273" t="s">
        <v>1272</v>
      </c>
      <c r="E103" s="768">
        <v>4425997</v>
      </c>
      <c r="F103" s="768">
        <v>0</v>
      </c>
      <c r="G103" s="768">
        <v>4425997</v>
      </c>
      <c r="H103" s="768">
        <v>912196.3</v>
      </c>
      <c r="I103" s="768">
        <v>3513800.7</v>
      </c>
    </row>
    <row r="104" spans="2:9" x14ac:dyDescent="0.2">
      <c r="B104" s="274">
        <v>1</v>
      </c>
      <c r="C104" s="826" t="s">
        <v>1243</v>
      </c>
      <c r="D104" s="273" t="s">
        <v>3610</v>
      </c>
      <c r="E104" s="768">
        <v>27381810.41</v>
      </c>
      <c r="F104" s="768">
        <v>1383492.25</v>
      </c>
      <c r="G104" s="768">
        <v>28765302.66</v>
      </c>
      <c r="H104" s="768">
        <v>10901827.42</v>
      </c>
      <c r="I104" s="768">
        <v>17863475.239999998</v>
      </c>
    </row>
    <row r="105" spans="2:9" x14ac:dyDescent="0.2">
      <c r="B105" s="274">
        <v>1</v>
      </c>
      <c r="C105" s="826" t="s">
        <v>1317</v>
      </c>
      <c r="D105" s="273" t="s">
        <v>1273</v>
      </c>
      <c r="E105" s="768">
        <v>156052295.75</v>
      </c>
      <c r="F105" s="768">
        <v>13866862.65</v>
      </c>
      <c r="G105" s="768">
        <v>169919158.40000001</v>
      </c>
      <c r="H105" s="768">
        <v>96188927.230000004</v>
      </c>
      <c r="I105" s="768">
        <v>73730231.170000002</v>
      </c>
    </row>
    <row r="106" spans="2:9" x14ac:dyDescent="0.2">
      <c r="B106" s="274">
        <v>1</v>
      </c>
      <c r="C106" s="826" t="s">
        <v>1306</v>
      </c>
      <c r="D106" s="273" t="s">
        <v>1021</v>
      </c>
      <c r="E106" s="768">
        <v>100683027.15000001</v>
      </c>
      <c r="F106" s="768">
        <v>3771970.98</v>
      </c>
      <c r="G106" s="768">
        <v>104454998.13</v>
      </c>
      <c r="H106" s="768">
        <v>42438346.350000001</v>
      </c>
      <c r="I106" s="768">
        <v>62016651.780000001</v>
      </c>
    </row>
    <row r="107" spans="2:9" x14ac:dyDescent="0.2">
      <c r="B107" s="274">
        <v>1</v>
      </c>
      <c r="C107" s="826" t="s">
        <v>1523</v>
      </c>
      <c r="D107" s="273" t="s">
        <v>1274</v>
      </c>
      <c r="E107" s="768">
        <v>45646523.310000002</v>
      </c>
      <c r="F107" s="768">
        <v>5642849.1699999999</v>
      </c>
      <c r="G107" s="768">
        <v>51289372.479999997</v>
      </c>
      <c r="H107" s="768">
        <v>39211925.399999999</v>
      </c>
      <c r="I107" s="768">
        <v>12077447.08</v>
      </c>
    </row>
    <row r="108" spans="2:9" x14ac:dyDescent="0.2">
      <c r="B108" s="274">
        <v>1</v>
      </c>
      <c r="C108" s="826" t="s">
        <v>1599</v>
      </c>
      <c r="D108" s="273" t="s">
        <v>1524</v>
      </c>
      <c r="E108" s="768">
        <v>113761401.22</v>
      </c>
      <c r="F108" s="768">
        <v>8179649.7999999998</v>
      </c>
      <c r="G108" s="768">
        <v>121941051.02</v>
      </c>
      <c r="H108" s="768">
        <v>62357539.700000003</v>
      </c>
      <c r="I108" s="768">
        <v>59583511.32</v>
      </c>
    </row>
    <row r="109" spans="2:9" x14ac:dyDescent="0.2">
      <c r="B109" s="274">
        <v>1</v>
      </c>
      <c r="C109" s="826" t="s">
        <v>2361</v>
      </c>
      <c r="D109" s="273" t="s">
        <v>1600</v>
      </c>
      <c r="E109" s="768">
        <v>105962657.98</v>
      </c>
      <c r="F109" s="768">
        <v>5461672.6299999999</v>
      </c>
      <c r="G109" s="768">
        <v>111424330.61</v>
      </c>
      <c r="H109" s="768">
        <v>45398970.780000001</v>
      </c>
      <c r="I109" s="768">
        <v>66025359.829999998</v>
      </c>
    </row>
    <row r="110" spans="2:9" x14ac:dyDescent="0.2">
      <c r="B110" s="274">
        <v>1</v>
      </c>
      <c r="C110" s="826" t="s">
        <v>2361</v>
      </c>
      <c r="D110" s="273" t="s">
        <v>2362</v>
      </c>
      <c r="E110" s="768">
        <v>30943228.66</v>
      </c>
      <c r="F110" s="768">
        <v>3036001.33</v>
      </c>
      <c r="G110" s="768">
        <v>33979229.990000002</v>
      </c>
      <c r="H110" s="768">
        <v>25156412.710000001</v>
      </c>
      <c r="I110" s="768">
        <v>8822817.2799999993</v>
      </c>
    </row>
    <row r="111" spans="2:9" x14ac:dyDescent="0.2">
      <c r="B111" s="274">
        <v>1</v>
      </c>
      <c r="C111" s="826" t="s">
        <v>664</v>
      </c>
      <c r="D111" s="273" t="s">
        <v>1275</v>
      </c>
      <c r="E111" s="768">
        <v>12234186235.610001</v>
      </c>
      <c r="F111" s="768">
        <v>1112211042.2</v>
      </c>
      <c r="G111" s="768">
        <v>13346397277.809999</v>
      </c>
      <c r="H111" s="768">
        <v>7252631140.3699999</v>
      </c>
      <c r="I111" s="768">
        <v>6093766137.4399996</v>
      </c>
    </row>
    <row r="112" spans="2:9" x14ac:dyDescent="0.2">
      <c r="B112" s="274">
        <v>1</v>
      </c>
      <c r="C112" s="826" t="s">
        <v>665</v>
      </c>
      <c r="D112" s="273" t="s">
        <v>1276</v>
      </c>
      <c r="E112" s="768">
        <v>638988034.95000005</v>
      </c>
      <c r="F112" s="768">
        <v>57686985.390000001</v>
      </c>
      <c r="G112" s="768">
        <v>696675020.34000003</v>
      </c>
      <c r="H112" s="768">
        <v>423158766</v>
      </c>
      <c r="I112" s="768">
        <v>273516254.33999997</v>
      </c>
    </row>
    <row r="113" spans="2:9" x14ac:dyDescent="0.2">
      <c r="B113" s="274">
        <v>1</v>
      </c>
      <c r="C113" s="826" t="s">
        <v>666</v>
      </c>
      <c r="D113" s="273" t="s">
        <v>1277</v>
      </c>
      <c r="E113" s="768">
        <v>240443199.25</v>
      </c>
      <c r="F113" s="768">
        <v>25603959.359999999</v>
      </c>
      <c r="G113" s="768">
        <v>266047158.61000001</v>
      </c>
      <c r="H113" s="768">
        <v>123924277.70999999</v>
      </c>
      <c r="I113" s="768">
        <v>142122880.90000001</v>
      </c>
    </row>
    <row r="114" spans="2:9" x14ac:dyDescent="0.2">
      <c r="B114" s="274">
        <v>1</v>
      </c>
      <c r="C114" s="826" t="s">
        <v>935</v>
      </c>
      <c r="D114" s="273" t="s">
        <v>1278</v>
      </c>
      <c r="E114" s="768">
        <v>139092378.65000001</v>
      </c>
      <c r="F114" s="768">
        <v>29866912.620000001</v>
      </c>
      <c r="G114" s="768">
        <v>168959291.27000001</v>
      </c>
      <c r="H114" s="768">
        <v>94715822.480000004</v>
      </c>
      <c r="I114" s="768">
        <v>74243468.790000007</v>
      </c>
    </row>
    <row r="115" spans="2:9" x14ac:dyDescent="0.2">
      <c r="B115" s="274">
        <v>1</v>
      </c>
      <c r="C115" s="826" t="s">
        <v>667</v>
      </c>
      <c r="D115" s="273" t="s">
        <v>1279</v>
      </c>
      <c r="E115" s="768">
        <v>184691695.31999999</v>
      </c>
      <c r="F115" s="768">
        <v>13265336.99</v>
      </c>
      <c r="G115" s="768">
        <v>197957032.31</v>
      </c>
      <c r="H115" s="768">
        <v>69505412.799999997</v>
      </c>
      <c r="I115" s="768">
        <v>128451619.51000001</v>
      </c>
    </row>
    <row r="116" spans="2:9" x14ac:dyDescent="0.2">
      <c r="B116" s="274">
        <v>1</v>
      </c>
      <c r="C116" s="826" t="s">
        <v>668</v>
      </c>
      <c r="D116" s="273" t="s">
        <v>1280</v>
      </c>
      <c r="E116" s="768">
        <v>209562218.97</v>
      </c>
      <c r="F116" s="768">
        <v>17221395.329999998</v>
      </c>
      <c r="G116" s="768">
        <v>226783614.30000001</v>
      </c>
      <c r="H116" s="768">
        <v>132376022.18000001</v>
      </c>
      <c r="I116" s="768">
        <v>94407592.120000005</v>
      </c>
    </row>
    <row r="117" spans="2:9" x14ac:dyDescent="0.2">
      <c r="B117" s="274">
        <v>1</v>
      </c>
      <c r="C117" s="826" t="s">
        <v>669</v>
      </c>
      <c r="D117" s="273" t="s">
        <v>1281</v>
      </c>
      <c r="E117" s="768">
        <v>192686442.88999999</v>
      </c>
      <c r="F117" s="768">
        <v>14561022.73</v>
      </c>
      <c r="G117" s="768">
        <v>207247465.62</v>
      </c>
      <c r="H117" s="768">
        <v>85814788.459999993</v>
      </c>
      <c r="I117" s="768">
        <v>121432677.16</v>
      </c>
    </row>
    <row r="118" spans="2:9" x14ac:dyDescent="0.2">
      <c r="B118" s="274">
        <v>1</v>
      </c>
      <c r="C118" s="826" t="s">
        <v>670</v>
      </c>
      <c r="D118" s="273" t="s">
        <v>1282</v>
      </c>
      <c r="E118" s="768">
        <v>106008486.16</v>
      </c>
      <c r="F118" s="768">
        <v>8231090.21</v>
      </c>
      <c r="G118" s="768">
        <v>114239576.37</v>
      </c>
      <c r="H118" s="768">
        <v>74107896.120000005</v>
      </c>
      <c r="I118" s="768">
        <v>40131680.25</v>
      </c>
    </row>
    <row r="119" spans="2:9" x14ac:dyDescent="0.2">
      <c r="B119" s="274">
        <v>1</v>
      </c>
      <c r="C119" s="826" t="s">
        <v>671</v>
      </c>
      <c r="D119" s="273" t="s">
        <v>627</v>
      </c>
      <c r="E119" s="768">
        <v>245148334.34</v>
      </c>
      <c r="F119" s="768">
        <v>20860276.02</v>
      </c>
      <c r="G119" s="768">
        <v>266008610.36000001</v>
      </c>
      <c r="H119" s="768">
        <v>145869785.53</v>
      </c>
      <c r="I119" s="768">
        <v>120138824.83</v>
      </c>
    </row>
    <row r="120" spans="2:9" x14ac:dyDescent="0.2">
      <c r="B120" s="274">
        <v>1</v>
      </c>
      <c r="C120" s="826" t="s">
        <v>672</v>
      </c>
      <c r="D120" s="273" t="s">
        <v>628</v>
      </c>
      <c r="E120" s="768">
        <v>574174808.40999997</v>
      </c>
      <c r="F120" s="768">
        <v>43042424.609999999</v>
      </c>
      <c r="G120" s="768">
        <v>617217233.01999998</v>
      </c>
      <c r="H120" s="768">
        <v>249729897.52000001</v>
      </c>
      <c r="I120" s="768">
        <v>367487335.5</v>
      </c>
    </row>
    <row r="121" spans="2:9" x14ac:dyDescent="0.2">
      <c r="B121" s="274">
        <v>1</v>
      </c>
      <c r="C121" s="826" t="s">
        <v>673</v>
      </c>
      <c r="D121" s="273" t="s">
        <v>629</v>
      </c>
      <c r="E121" s="768">
        <v>629623751.85000002</v>
      </c>
      <c r="F121" s="768">
        <v>60374115.759999998</v>
      </c>
      <c r="G121" s="768">
        <v>689997867.61000001</v>
      </c>
      <c r="H121" s="768">
        <v>404016018.19999999</v>
      </c>
      <c r="I121" s="768">
        <v>285981849.41000003</v>
      </c>
    </row>
    <row r="122" spans="2:9" x14ac:dyDescent="0.2">
      <c r="B122" s="274">
        <v>1</v>
      </c>
      <c r="C122" s="826" t="s">
        <v>674</v>
      </c>
      <c r="D122" s="273" t="s">
        <v>630</v>
      </c>
      <c r="E122" s="768">
        <v>619461698.52999997</v>
      </c>
      <c r="F122" s="768">
        <v>44646170.810000002</v>
      </c>
      <c r="G122" s="768">
        <v>664107869.34000003</v>
      </c>
      <c r="H122" s="768">
        <v>319372742.58999997</v>
      </c>
      <c r="I122" s="768">
        <v>344735126.75</v>
      </c>
    </row>
    <row r="123" spans="2:9" x14ac:dyDescent="0.2">
      <c r="B123" s="274">
        <v>1</v>
      </c>
      <c r="C123" s="826" t="s">
        <v>675</v>
      </c>
      <c r="D123" s="273" t="s">
        <v>631</v>
      </c>
      <c r="E123" s="768">
        <v>885671300.38</v>
      </c>
      <c r="F123" s="768">
        <v>81718660.269999996</v>
      </c>
      <c r="G123" s="768">
        <v>967389960.64999998</v>
      </c>
      <c r="H123" s="768">
        <v>515902593.04000002</v>
      </c>
      <c r="I123" s="768">
        <v>451487367.61000001</v>
      </c>
    </row>
    <row r="124" spans="2:9" x14ac:dyDescent="0.2">
      <c r="B124" s="274">
        <v>1</v>
      </c>
      <c r="C124" s="826" t="s">
        <v>676</v>
      </c>
      <c r="D124" s="273" t="s">
        <v>632</v>
      </c>
      <c r="E124" s="768">
        <v>555934667.49000001</v>
      </c>
      <c r="F124" s="768">
        <v>48197064.439999998</v>
      </c>
      <c r="G124" s="768">
        <v>604131731.92999995</v>
      </c>
      <c r="H124" s="768">
        <v>322207054.72000003</v>
      </c>
      <c r="I124" s="768">
        <v>281924677.20999998</v>
      </c>
    </row>
    <row r="125" spans="2:9" x14ac:dyDescent="0.2">
      <c r="B125" s="274">
        <v>1</v>
      </c>
      <c r="C125" s="826" t="s">
        <v>677</v>
      </c>
      <c r="D125" s="273" t="s">
        <v>633</v>
      </c>
      <c r="E125" s="768">
        <v>879102251.41999996</v>
      </c>
      <c r="F125" s="768">
        <v>79507303.450000003</v>
      </c>
      <c r="G125" s="768">
        <v>958609554.87</v>
      </c>
      <c r="H125" s="768">
        <v>499493034.43000001</v>
      </c>
      <c r="I125" s="768">
        <v>459116520.44</v>
      </c>
    </row>
    <row r="126" spans="2:9" x14ac:dyDescent="0.2">
      <c r="B126" s="274">
        <v>1</v>
      </c>
      <c r="C126" s="826" t="s">
        <v>678</v>
      </c>
      <c r="D126" s="273" t="s">
        <v>634</v>
      </c>
      <c r="E126" s="768">
        <v>565045664.38999999</v>
      </c>
      <c r="F126" s="768">
        <v>41330005.759999998</v>
      </c>
      <c r="G126" s="768">
        <v>606375670.14999998</v>
      </c>
      <c r="H126" s="768">
        <v>279278664.37</v>
      </c>
      <c r="I126" s="768">
        <v>327097005.77999997</v>
      </c>
    </row>
    <row r="127" spans="2:9" x14ac:dyDescent="0.2">
      <c r="B127" s="274">
        <v>1</v>
      </c>
      <c r="C127" s="826" t="s">
        <v>679</v>
      </c>
      <c r="D127" s="273" t="s">
        <v>635</v>
      </c>
      <c r="E127" s="768">
        <v>572703330.12</v>
      </c>
      <c r="F127" s="768">
        <v>50057355</v>
      </c>
      <c r="G127" s="768">
        <v>622760685.12</v>
      </c>
      <c r="H127" s="768">
        <v>346881689.36000001</v>
      </c>
      <c r="I127" s="768">
        <v>275878995.75999999</v>
      </c>
    </row>
    <row r="128" spans="2:9" x14ac:dyDescent="0.2">
      <c r="B128" s="274">
        <v>1</v>
      </c>
      <c r="C128" s="826" t="s">
        <v>680</v>
      </c>
      <c r="D128" s="273" t="s">
        <v>636</v>
      </c>
      <c r="E128" s="768">
        <v>982141638.49000001</v>
      </c>
      <c r="F128" s="768">
        <v>116404409.2</v>
      </c>
      <c r="G128" s="768">
        <v>1098546047.6900001</v>
      </c>
      <c r="H128" s="768">
        <v>787069104.13999999</v>
      </c>
      <c r="I128" s="768">
        <v>311476943.55000001</v>
      </c>
    </row>
    <row r="129" spans="2:9" x14ac:dyDescent="0.2">
      <c r="B129" s="274">
        <v>1</v>
      </c>
      <c r="C129" s="826" t="s">
        <v>681</v>
      </c>
      <c r="D129" s="273" t="s">
        <v>637</v>
      </c>
      <c r="E129" s="768">
        <v>721291607.24000001</v>
      </c>
      <c r="F129" s="768">
        <v>57211744.729999997</v>
      </c>
      <c r="G129" s="768">
        <v>778503351.97000003</v>
      </c>
      <c r="H129" s="768">
        <v>403239033.49000001</v>
      </c>
      <c r="I129" s="768">
        <v>375264318.48000002</v>
      </c>
    </row>
    <row r="130" spans="2:9" x14ac:dyDescent="0.2">
      <c r="B130" s="274">
        <v>1</v>
      </c>
      <c r="C130" s="826" t="s">
        <v>682</v>
      </c>
      <c r="D130" s="273" t="s">
        <v>638</v>
      </c>
      <c r="E130" s="768">
        <v>578687647.35000002</v>
      </c>
      <c r="F130" s="768">
        <v>41352342.689999998</v>
      </c>
      <c r="G130" s="768">
        <v>620039990.03999996</v>
      </c>
      <c r="H130" s="768">
        <v>293298728.94</v>
      </c>
      <c r="I130" s="768">
        <v>326741261.10000002</v>
      </c>
    </row>
    <row r="131" spans="2:9" x14ac:dyDescent="0.2">
      <c r="B131" s="274">
        <v>1</v>
      </c>
      <c r="C131" s="826" t="s">
        <v>308</v>
      </c>
      <c r="D131" s="273" t="s">
        <v>1022</v>
      </c>
      <c r="E131" s="768">
        <v>91490468.019999996</v>
      </c>
      <c r="F131" s="768">
        <v>16560993.49</v>
      </c>
      <c r="G131" s="768">
        <v>108051461.51000001</v>
      </c>
      <c r="H131" s="768">
        <v>56447110.369999997</v>
      </c>
      <c r="I131" s="768">
        <v>51604351.140000001</v>
      </c>
    </row>
    <row r="132" spans="2:9" x14ac:dyDescent="0.2">
      <c r="B132" s="274">
        <v>1</v>
      </c>
      <c r="C132" s="826" t="s">
        <v>309</v>
      </c>
      <c r="D132" s="273" t="s">
        <v>639</v>
      </c>
      <c r="E132" s="768">
        <v>79769492.75</v>
      </c>
      <c r="F132" s="768">
        <v>6108243.6699999999</v>
      </c>
      <c r="G132" s="768">
        <v>85877736.420000002</v>
      </c>
      <c r="H132" s="768">
        <v>45554045.719999999</v>
      </c>
      <c r="I132" s="768">
        <v>40323690.700000003</v>
      </c>
    </row>
    <row r="133" spans="2:9" x14ac:dyDescent="0.2">
      <c r="B133" s="274">
        <v>1</v>
      </c>
      <c r="C133" s="826" t="s">
        <v>310</v>
      </c>
      <c r="D133" s="273" t="s">
        <v>640</v>
      </c>
      <c r="E133" s="768">
        <v>36551442.259999998</v>
      </c>
      <c r="F133" s="768">
        <v>4320977.72</v>
      </c>
      <c r="G133" s="768">
        <v>40872419.979999997</v>
      </c>
      <c r="H133" s="768">
        <v>31913747.949999999</v>
      </c>
      <c r="I133" s="768">
        <v>8958672.0299999993</v>
      </c>
    </row>
    <row r="134" spans="2:9" x14ac:dyDescent="0.2">
      <c r="B134" s="274">
        <v>1</v>
      </c>
      <c r="C134" s="826" t="s">
        <v>311</v>
      </c>
      <c r="D134" s="273" t="s">
        <v>641</v>
      </c>
      <c r="E134" s="768">
        <v>85922645.569999993</v>
      </c>
      <c r="F134" s="768">
        <v>7007651.0499999998</v>
      </c>
      <c r="G134" s="768">
        <v>92930296.620000005</v>
      </c>
      <c r="H134" s="768">
        <v>51001263.520000003</v>
      </c>
      <c r="I134" s="768">
        <v>41929033.100000001</v>
      </c>
    </row>
    <row r="135" spans="2:9" x14ac:dyDescent="0.2">
      <c r="B135" s="274">
        <v>1</v>
      </c>
      <c r="C135" s="826" t="s">
        <v>312</v>
      </c>
      <c r="D135" s="273" t="s">
        <v>642</v>
      </c>
      <c r="E135" s="768">
        <v>70807198.5</v>
      </c>
      <c r="F135" s="768">
        <v>4825469.47</v>
      </c>
      <c r="G135" s="768">
        <v>75632667.969999999</v>
      </c>
      <c r="H135" s="768">
        <v>30676207.670000002</v>
      </c>
      <c r="I135" s="768">
        <v>44956460.299999997</v>
      </c>
    </row>
    <row r="136" spans="2:9" x14ac:dyDescent="0.2">
      <c r="B136" s="274">
        <v>1</v>
      </c>
      <c r="C136" s="826" t="s">
        <v>313</v>
      </c>
      <c r="D136" s="273" t="s">
        <v>643</v>
      </c>
      <c r="E136" s="768">
        <v>73155895.390000001</v>
      </c>
      <c r="F136" s="768">
        <v>2920314.52</v>
      </c>
      <c r="G136" s="768">
        <v>76076209.909999996</v>
      </c>
      <c r="H136" s="768">
        <v>26743008.239999998</v>
      </c>
      <c r="I136" s="768">
        <v>49333201.670000002</v>
      </c>
    </row>
    <row r="137" spans="2:9" x14ac:dyDescent="0.2">
      <c r="B137" s="274">
        <v>1</v>
      </c>
      <c r="C137" s="826" t="s">
        <v>314</v>
      </c>
      <c r="D137" s="273" t="s">
        <v>644</v>
      </c>
      <c r="E137" s="768">
        <v>57425607.390000001</v>
      </c>
      <c r="F137" s="768">
        <v>2920314.52</v>
      </c>
      <c r="G137" s="768">
        <v>60345921.909999996</v>
      </c>
      <c r="H137" s="768">
        <v>23255782.52</v>
      </c>
      <c r="I137" s="768">
        <v>37090139.390000001</v>
      </c>
    </row>
    <row r="138" spans="2:9" x14ac:dyDescent="0.2">
      <c r="B138" s="274">
        <v>1</v>
      </c>
      <c r="C138" s="826" t="s">
        <v>315</v>
      </c>
      <c r="D138" s="273" t="s">
        <v>1780</v>
      </c>
      <c r="E138" s="768">
        <v>11495812</v>
      </c>
      <c r="F138" s="768">
        <v>0</v>
      </c>
      <c r="G138" s="768">
        <v>11495812</v>
      </c>
      <c r="H138" s="768">
        <v>2041546.42</v>
      </c>
      <c r="I138" s="768">
        <v>9454265.5800000001</v>
      </c>
    </row>
    <row r="139" spans="2:9" x14ac:dyDescent="0.2">
      <c r="B139" s="274">
        <v>1</v>
      </c>
      <c r="C139" s="826" t="s">
        <v>316</v>
      </c>
      <c r="D139" s="273" t="s">
        <v>645</v>
      </c>
      <c r="E139" s="768">
        <v>4234476</v>
      </c>
      <c r="F139" s="768">
        <v>0</v>
      </c>
      <c r="G139" s="768">
        <v>4234476</v>
      </c>
      <c r="H139" s="768">
        <v>1445679.3</v>
      </c>
      <c r="I139" s="768">
        <v>2788796.7</v>
      </c>
    </row>
    <row r="140" spans="2:9" x14ac:dyDescent="0.2">
      <c r="B140" s="274">
        <v>1</v>
      </c>
      <c r="C140" s="826" t="s">
        <v>317</v>
      </c>
      <c r="D140" s="273" t="s">
        <v>646</v>
      </c>
      <c r="E140" s="768">
        <v>155587924.08000001</v>
      </c>
      <c r="F140" s="768">
        <v>12981427</v>
      </c>
      <c r="G140" s="768">
        <v>168569351.08000001</v>
      </c>
      <c r="H140" s="768">
        <v>91415826.140000001</v>
      </c>
      <c r="I140" s="768">
        <v>77153524.939999998</v>
      </c>
    </row>
    <row r="141" spans="2:9" x14ac:dyDescent="0.2">
      <c r="B141" s="274">
        <v>1</v>
      </c>
      <c r="C141" s="826" t="s">
        <v>45</v>
      </c>
      <c r="D141" s="273" t="s">
        <v>647</v>
      </c>
      <c r="E141" s="768">
        <v>58981850.950000003</v>
      </c>
      <c r="F141" s="768">
        <v>3158007.63</v>
      </c>
      <c r="G141" s="768">
        <v>62139858.579999998</v>
      </c>
      <c r="H141" s="768">
        <v>29151012.129999999</v>
      </c>
      <c r="I141" s="768">
        <v>32988846.449999999</v>
      </c>
    </row>
    <row r="142" spans="2:9" x14ac:dyDescent="0.2">
      <c r="B142" s="274">
        <v>1</v>
      </c>
      <c r="C142" s="826" t="s">
        <v>318</v>
      </c>
      <c r="D142" s="273" t="s">
        <v>648</v>
      </c>
      <c r="E142" s="768">
        <v>220301571.00999999</v>
      </c>
      <c r="F142" s="768">
        <v>17632460.129999999</v>
      </c>
      <c r="G142" s="768">
        <v>237934031.13999999</v>
      </c>
      <c r="H142" s="768">
        <v>129672198.65000001</v>
      </c>
      <c r="I142" s="768">
        <v>108261832.48999999</v>
      </c>
    </row>
    <row r="143" spans="2:9" x14ac:dyDescent="0.2">
      <c r="B143" s="274">
        <v>1</v>
      </c>
      <c r="C143" s="826" t="s">
        <v>319</v>
      </c>
      <c r="D143" s="273" t="s">
        <v>649</v>
      </c>
      <c r="E143" s="768">
        <v>34667303.659999996</v>
      </c>
      <c r="F143" s="768">
        <v>6695633.9800000004</v>
      </c>
      <c r="G143" s="768">
        <v>41362937.640000001</v>
      </c>
      <c r="H143" s="768">
        <v>59632718.700000003</v>
      </c>
      <c r="I143" s="768">
        <v>-18269781.059999999</v>
      </c>
    </row>
    <row r="144" spans="2:9" x14ac:dyDescent="0.2">
      <c r="B144" s="274">
        <v>1</v>
      </c>
      <c r="C144" s="826" t="s">
        <v>320</v>
      </c>
      <c r="D144" s="273" t="s">
        <v>650</v>
      </c>
      <c r="E144" s="768">
        <v>57043901.859999999</v>
      </c>
      <c r="F144" s="768">
        <v>6347963.4199999999</v>
      </c>
      <c r="G144" s="768">
        <v>63391865.280000001</v>
      </c>
      <c r="H144" s="768">
        <v>42026835.049999997</v>
      </c>
      <c r="I144" s="768">
        <v>21365030.23</v>
      </c>
    </row>
    <row r="145" spans="2:9" x14ac:dyDescent="0.2">
      <c r="B145" s="274">
        <v>1</v>
      </c>
      <c r="C145" s="826" t="s">
        <v>321</v>
      </c>
      <c r="D145" s="273" t="s">
        <v>651</v>
      </c>
      <c r="E145" s="768">
        <v>112436290.04000001</v>
      </c>
      <c r="F145" s="768">
        <v>14715597.92</v>
      </c>
      <c r="G145" s="768">
        <v>127151887.95999999</v>
      </c>
      <c r="H145" s="768">
        <v>91987189.079999998</v>
      </c>
      <c r="I145" s="768">
        <v>35164698.880000003</v>
      </c>
    </row>
    <row r="146" spans="2:9" x14ac:dyDescent="0.2">
      <c r="B146" s="274">
        <v>1</v>
      </c>
      <c r="C146" s="826" t="s">
        <v>362</v>
      </c>
      <c r="D146" s="273" t="s">
        <v>652</v>
      </c>
      <c r="E146" s="768">
        <v>79634551.5</v>
      </c>
      <c r="F146" s="768">
        <v>6461910.2800000003</v>
      </c>
      <c r="G146" s="768">
        <v>86096461.780000001</v>
      </c>
      <c r="H146" s="768">
        <v>35962122.659999996</v>
      </c>
      <c r="I146" s="768">
        <v>50134339.119999997</v>
      </c>
    </row>
    <row r="147" spans="2:9" x14ac:dyDescent="0.2">
      <c r="B147" s="274">
        <v>1</v>
      </c>
      <c r="C147" s="826" t="s">
        <v>373</v>
      </c>
      <c r="D147" s="273" t="s">
        <v>653</v>
      </c>
      <c r="E147" s="768">
        <v>73459288.170000002</v>
      </c>
      <c r="F147" s="768">
        <v>8039231.9900000002</v>
      </c>
      <c r="G147" s="768">
        <v>81498520.159999996</v>
      </c>
      <c r="H147" s="768">
        <v>62614487</v>
      </c>
      <c r="I147" s="768">
        <v>18884033.16</v>
      </c>
    </row>
    <row r="148" spans="2:9" x14ac:dyDescent="0.2">
      <c r="B148" s="274">
        <v>1</v>
      </c>
      <c r="C148" s="826" t="s">
        <v>1244</v>
      </c>
      <c r="D148" s="273" t="s">
        <v>654</v>
      </c>
      <c r="E148" s="768">
        <v>327490477.25999999</v>
      </c>
      <c r="F148" s="768">
        <v>29075580.469999999</v>
      </c>
      <c r="G148" s="768">
        <v>356566057.73000002</v>
      </c>
      <c r="H148" s="768">
        <v>215334133.86000001</v>
      </c>
      <c r="I148" s="768">
        <v>141231923.87</v>
      </c>
    </row>
    <row r="149" spans="2:9" x14ac:dyDescent="0.2">
      <c r="B149" s="274">
        <v>1</v>
      </c>
      <c r="C149" s="826" t="s">
        <v>1318</v>
      </c>
      <c r="D149" s="273" t="s">
        <v>1189</v>
      </c>
      <c r="E149" s="768">
        <v>63654307.990000002</v>
      </c>
      <c r="F149" s="768">
        <v>6705921.8300000001</v>
      </c>
      <c r="G149" s="768">
        <v>70360229.819999993</v>
      </c>
      <c r="H149" s="768">
        <v>43420602.229999997</v>
      </c>
      <c r="I149" s="768">
        <v>26939627.59</v>
      </c>
    </row>
    <row r="150" spans="2:9" x14ac:dyDescent="0.2">
      <c r="B150" s="274">
        <v>1</v>
      </c>
      <c r="C150" s="826" t="s">
        <v>1319</v>
      </c>
      <c r="D150" s="273" t="s">
        <v>1190</v>
      </c>
      <c r="E150" s="768">
        <v>82660212.569999993</v>
      </c>
      <c r="F150" s="768">
        <v>6925715.1200000001</v>
      </c>
      <c r="G150" s="768">
        <v>89585927.689999998</v>
      </c>
      <c r="H150" s="768">
        <v>52362828.100000001</v>
      </c>
      <c r="I150" s="768">
        <v>37223099.590000004</v>
      </c>
    </row>
    <row r="151" spans="2:9" x14ac:dyDescent="0.2">
      <c r="B151" s="274">
        <v>1</v>
      </c>
      <c r="C151" s="826" t="s">
        <v>1320</v>
      </c>
      <c r="D151" s="273" t="s">
        <v>1191</v>
      </c>
      <c r="E151" s="768">
        <v>124374679.44</v>
      </c>
      <c r="F151" s="768">
        <v>-20244838.41</v>
      </c>
      <c r="G151" s="768">
        <v>104129841.03</v>
      </c>
      <c r="H151" s="768">
        <v>50590173.920000002</v>
      </c>
      <c r="I151" s="768">
        <v>53539667.109999999</v>
      </c>
    </row>
    <row r="152" spans="2:9" x14ac:dyDescent="0.2">
      <c r="B152" s="274">
        <v>1</v>
      </c>
      <c r="C152" s="826" t="s">
        <v>1314</v>
      </c>
      <c r="D152" s="273" t="s">
        <v>1192</v>
      </c>
      <c r="E152" s="768">
        <v>240519096.19</v>
      </c>
      <c r="F152" s="768">
        <v>24242918.969999999</v>
      </c>
      <c r="G152" s="768">
        <v>264762015.16</v>
      </c>
      <c r="H152" s="768">
        <v>175028660.55000001</v>
      </c>
      <c r="I152" s="768">
        <v>89733354.609999999</v>
      </c>
    </row>
    <row r="153" spans="2:9" x14ac:dyDescent="0.2">
      <c r="B153" s="274">
        <v>1</v>
      </c>
      <c r="C153" s="826" t="s">
        <v>253</v>
      </c>
      <c r="D153" s="273" t="s">
        <v>254</v>
      </c>
      <c r="E153" s="768">
        <v>64702353.049999997</v>
      </c>
      <c r="F153" s="768">
        <v>5323737.43</v>
      </c>
      <c r="G153" s="768">
        <v>70026090.480000004</v>
      </c>
      <c r="H153" s="768">
        <v>52071399.57</v>
      </c>
      <c r="I153" s="768">
        <v>17954690.91</v>
      </c>
    </row>
    <row r="154" spans="2:9" x14ac:dyDescent="0.2">
      <c r="B154" s="274">
        <v>1</v>
      </c>
      <c r="C154" s="826" t="s">
        <v>135</v>
      </c>
      <c r="D154" s="273" t="s">
        <v>136</v>
      </c>
      <c r="E154" s="768">
        <v>103176888.37</v>
      </c>
      <c r="F154" s="768">
        <v>9316402.6500000004</v>
      </c>
      <c r="G154" s="768">
        <v>112493291.02</v>
      </c>
      <c r="H154" s="768">
        <v>54153651.969999999</v>
      </c>
      <c r="I154" s="768">
        <v>58339639.049999997</v>
      </c>
    </row>
    <row r="155" spans="2:9" x14ac:dyDescent="0.2">
      <c r="B155" s="274">
        <v>1</v>
      </c>
      <c r="C155" s="826" t="s">
        <v>1667</v>
      </c>
      <c r="D155" s="273" t="s">
        <v>1668</v>
      </c>
      <c r="E155" s="768">
        <v>188453007.94999999</v>
      </c>
      <c r="F155" s="768">
        <v>15401261.82</v>
      </c>
      <c r="G155" s="768">
        <v>203854269.77000001</v>
      </c>
      <c r="H155" s="768">
        <v>98140546.799999997</v>
      </c>
      <c r="I155" s="768">
        <v>105713722.97</v>
      </c>
    </row>
    <row r="156" spans="2:9" x14ac:dyDescent="0.2">
      <c r="B156" s="274">
        <v>1</v>
      </c>
      <c r="C156" s="826" t="s">
        <v>1669</v>
      </c>
      <c r="D156" s="273" t="s">
        <v>1670</v>
      </c>
      <c r="E156" s="768">
        <v>63557287.119999997</v>
      </c>
      <c r="F156" s="768">
        <v>12686211.220000001</v>
      </c>
      <c r="G156" s="768">
        <v>76243498.340000004</v>
      </c>
      <c r="H156" s="768">
        <v>50978349.5</v>
      </c>
      <c r="I156" s="768">
        <v>25265148.84</v>
      </c>
    </row>
    <row r="157" spans="2:9" x14ac:dyDescent="0.2">
      <c r="B157" s="274">
        <v>1</v>
      </c>
      <c r="C157" s="826" t="s">
        <v>1781</v>
      </c>
      <c r="D157" s="273" t="s">
        <v>1782</v>
      </c>
      <c r="E157" s="768">
        <v>17142039.84</v>
      </c>
      <c r="F157" s="768">
        <v>1627422.04</v>
      </c>
      <c r="G157" s="768">
        <v>18769461.879999999</v>
      </c>
      <c r="H157" s="768">
        <v>13814052.01</v>
      </c>
      <c r="I157" s="768">
        <v>4955409.87</v>
      </c>
    </row>
    <row r="158" spans="2:9" x14ac:dyDescent="0.2">
      <c r="B158" s="274">
        <v>1</v>
      </c>
      <c r="C158" s="826" t="s">
        <v>1783</v>
      </c>
      <c r="D158" s="273" t="s">
        <v>1784</v>
      </c>
      <c r="E158" s="768">
        <v>133068449.06999999</v>
      </c>
      <c r="F158" s="768">
        <v>48167494.939999998</v>
      </c>
      <c r="G158" s="768">
        <v>181235944.00999999</v>
      </c>
      <c r="H158" s="768">
        <v>60033146.82</v>
      </c>
      <c r="I158" s="768">
        <v>121202797.19</v>
      </c>
    </row>
    <row r="159" spans="2:9" x14ac:dyDescent="0.2">
      <c r="B159" s="274">
        <v>1</v>
      </c>
      <c r="C159" s="826" t="s">
        <v>1785</v>
      </c>
      <c r="D159" s="273" t="s">
        <v>1786</v>
      </c>
      <c r="E159" s="768">
        <v>32468524.66</v>
      </c>
      <c r="F159" s="768">
        <v>2426526.48</v>
      </c>
      <c r="G159" s="768">
        <v>34895051.140000001</v>
      </c>
      <c r="H159" s="768">
        <v>19762257.879999999</v>
      </c>
      <c r="I159" s="768">
        <v>15132793.26</v>
      </c>
    </row>
    <row r="160" spans="2:9" x14ac:dyDescent="0.2">
      <c r="B160" s="274">
        <v>1</v>
      </c>
      <c r="C160" s="826" t="s">
        <v>1787</v>
      </c>
      <c r="D160" s="273" t="s">
        <v>1788</v>
      </c>
      <c r="E160" s="768">
        <v>42649932.140000001</v>
      </c>
      <c r="F160" s="768">
        <v>1642230</v>
      </c>
      <c r="G160" s="768">
        <v>44292162.140000001</v>
      </c>
      <c r="H160" s="768">
        <v>12182232.199999999</v>
      </c>
      <c r="I160" s="768">
        <v>32109929.940000001</v>
      </c>
    </row>
    <row r="161" spans="2:9" x14ac:dyDescent="0.2">
      <c r="B161" s="274">
        <v>1</v>
      </c>
      <c r="C161" s="826" t="s">
        <v>363</v>
      </c>
      <c r="D161" s="273" t="s">
        <v>1193</v>
      </c>
      <c r="E161" s="768">
        <v>2578594975.1100001</v>
      </c>
      <c r="F161" s="768">
        <v>181956310.16</v>
      </c>
      <c r="G161" s="768">
        <v>2760551285.27</v>
      </c>
      <c r="H161" s="768">
        <v>1063263625.88</v>
      </c>
      <c r="I161" s="768">
        <v>1697287659.3900001</v>
      </c>
    </row>
    <row r="162" spans="2:9" x14ac:dyDescent="0.2">
      <c r="B162" s="274">
        <v>1</v>
      </c>
      <c r="C162" s="826" t="s">
        <v>1321</v>
      </c>
      <c r="D162" s="273" t="s">
        <v>1194</v>
      </c>
      <c r="E162" s="768">
        <v>2035000000</v>
      </c>
      <c r="F162" s="768">
        <v>-6279554.2999999998</v>
      </c>
      <c r="G162" s="768">
        <v>2028720445.7</v>
      </c>
      <c r="H162" s="768">
        <v>1833012633.3499999</v>
      </c>
      <c r="I162" s="768">
        <v>195707812.34999999</v>
      </c>
    </row>
    <row r="164" spans="2:9" s="771" customFormat="1" x14ac:dyDescent="0.2">
      <c r="B164" s="766">
        <v>1</v>
      </c>
      <c r="C164" s="824" t="s">
        <v>364</v>
      </c>
      <c r="D164" s="771" t="s">
        <v>1195</v>
      </c>
      <c r="E164" s="825">
        <v>7616101518.1099997</v>
      </c>
      <c r="F164" s="825">
        <v>-77978217.329999998</v>
      </c>
      <c r="G164" s="825">
        <v>7538123300.7799997</v>
      </c>
      <c r="H164" s="825">
        <v>3398242480.2199998</v>
      </c>
      <c r="I164" s="825">
        <v>4139880820.5599999</v>
      </c>
    </row>
    <row r="165" spans="2:9" x14ac:dyDescent="0.2">
      <c r="B165" s="274">
        <v>1</v>
      </c>
      <c r="C165" s="826" t="s">
        <v>365</v>
      </c>
      <c r="D165" s="273" t="s">
        <v>1196</v>
      </c>
      <c r="E165" s="768">
        <v>3850358417.8899999</v>
      </c>
      <c r="F165" s="768">
        <v>275607964</v>
      </c>
      <c r="G165" s="768">
        <v>4125966381.8899999</v>
      </c>
      <c r="H165" s="768">
        <v>1765189954.6900001</v>
      </c>
      <c r="I165" s="768">
        <v>2360776427.1999998</v>
      </c>
    </row>
    <row r="166" spans="2:9" x14ac:dyDescent="0.2">
      <c r="B166" s="274">
        <v>1</v>
      </c>
      <c r="C166" s="826" t="s">
        <v>366</v>
      </c>
      <c r="D166" s="273" t="s">
        <v>1197</v>
      </c>
      <c r="E166" s="768">
        <v>595052865.27999997</v>
      </c>
      <c r="F166" s="768">
        <v>40041481.829999998</v>
      </c>
      <c r="G166" s="768">
        <v>635094347.11000001</v>
      </c>
      <c r="H166" s="768">
        <v>292013820.80000001</v>
      </c>
      <c r="I166" s="768">
        <v>343080526.31</v>
      </c>
    </row>
    <row r="167" spans="2:9" x14ac:dyDescent="0.2">
      <c r="B167" s="274">
        <v>1</v>
      </c>
      <c r="C167" s="826" t="s">
        <v>367</v>
      </c>
      <c r="D167" s="273" t="s">
        <v>1198</v>
      </c>
      <c r="E167" s="768">
        <v>815886722.49000001</v>
      </c>
      <c r="F167" s="768">
        <v>96079680.319999993</v>
      </c>
      <c r="G167" s="768">
        <v>911966402.80999994</v>
      </c>
      <c r="H167" s="768">
        <v>403698676.48000002</v>
      </c>
      <c r="I167" s="768">
        <v>508267726.32999998</v>
      </c>
    </row>
    <row r="168" spans="2:9" x14ac:dyDescent="0.2">
      <c r="B168" s="274">
        <v>1</v>
      </c>
      <c r="C168" s="826" t="s">
        <v>368</v>
      </c>
      <c r="D168" s="273" t="s">
        <v>2363</v>
      </c>
      <c r="E168" s="768">
        <v>1254788927.28</v>
      </c>
      <c r="F168" s="768">
        <v>78507490.849999994</v>
      </c>
      <c r="G168" s="768">
        <v>1333296418.1300001</v>
      </c>
      <c r="H168" s="768">
        <v>545624721.17999995</v>
      </c>
      <c r="I168" s="768">
        <v>787671696.95000005</v>
      </c>
    </row>
    <row r="169" spans="2:9" x14ac:dyDescent="0.2">
      <c r="B169" s="274">
        <v>1</v>
      </c>
      <c r="C169" s="826" t="s">
        <v>369</v>
      </c>
      <c r="D169" s="273" t="s">
        <v>1199</v>
      </c>
      <c r="E169" s="768">
        <v>1184629902.8399999</v>
      </c>
      <c r="F169" s="768">
        <v>60979311</v>
      </c>
      <c r="G169" s="768">
        <v>1245609213.8399999</v>
      </c>
      <c r="H169" s="768">
        <v>523852736.23000002</v>
      </c>
      <c r="I169" s="768">
        <v>721756477.61000001</v>
      </c>
    </row>
    <row r="170" spans="2:9" x14ac:dyDescent="0.2">
      <c r="B170" s="274">
        <v>1</v>
      </c>
      <c r="C170" s="826" t="s">
        <v>370</v>
      </c>
      <c r="D170" s="273" t="s">
        <v>1200</v>
      </c>
      <c r="E170" s="768">
        <v>3415743100.2199998</v>
      </c>
      <c r="F170" s="768">
        <v>-286824990.88999999</v>
      </c>
      <c r="G170" s="768">
        <v>3128918109.3299999</v>
      </c>
      <c r="H170" s="768">
        <v>1398354188.1800001</v>
      </c>
      <c r="I170" s="768">
        <v>1730563921.1500001</v>
      </c>
    </row>
    <row r="171" spans="2:9" x14ac:dyDescent="0.2">
      <c r="B171" s="274">
        <v>1</v>
      </c>
      <c r="C171" s="826" t="s">
        <v>371</v>
      </c>
      <c r="D171" s="273" t="s">
        <v>1201</v>
      </c>
      <c r="E171" s="768">
        <v>228367159.63999999</v>
      </c>
      <c r="F171" s="768">
        <v>12629963.029999999</v>
      </c>
      <c r="G171" s="768">
        <v>240997122.66999999</v>
      </c>
      <c r="H171" s="768">
        <v>111457666.33</v>
      </c>
      <c r="I171" s="768">
        <v>129539456.34</v>
      </c>
    </row>
    <row r="172" spans="2:9" x14ac:dyDescent="0.2">
      <c r="B172" s="274">
        <v>1</v>
      </c>
      <c r="C172" s="826" t="s">
        <v>372</v>
      </c>
      <c r="D172" s="273" t="s">
        <v>1202</v>
      </c>
      <c r="E172" s="768">
        <v>497766004.25999999</v>
      </c>
      <c r="F172" s="768">
        <v>43026131.310000002</v>
      </c>
      <c r="G172" s="768">
        <v>540792135.57000005</v>
      </c>
      <c r="H172" s="768">
        <v>284608800.45999998</v>
      </c>
      <c r="I172" s="768">
        <v>256183335.11000001</v>
      </c>
    </row>
    <row r="173" spans="2:9" x14ac:dyDescent="0.2">
      <c r="B173" s="274">
        <v>1</v>
      </c>
      <c r="C173" s="826" t="s">
        <v>36</v>
      </c>
      <c r="D173" s="273" t="s">
        <v>1203</v>
      </c>
      <c r="E173" s="768">
        <v>43956080.539999999</v>
      </c>
      <c r="F173" s="768">
        <v>10408106.18</v>
      </c>
      <c r="G173" s="768">
        <v>54364186.719999999</v>
      </c>
      <c r="H173" s="768">
        <v>25018699.030000001</v>
      </c>
      <c r="I173" s="768">
        <v>29345487.690000001</v>
      </c>
    </row>
    <row r="174" spans="2:9" x14ac:dyDescent="0.2">
      <c r="B174" s="274">
        <v>1</v>
      </c>
      <c r="C174" s="826" t="s">
        <v>37</v>
      </c>
      <c r="D174" s="273" t="s">
        <v>1204</v>
      </c>
      <c r="E174" s="768">
        <v>453809923.72000003</v>
      </c>
      <c r="F174" s="768">
        <v>32618025.129999999</v>
      </c>
      <c r="G174" s="768">
        <v>486427948.85000002</v>
      </c>
      <c r="H174" s="768">
        <v>259590101.43000001</v>
      </c>
      <c r="I174" s="768">
        <v>226837847.41999999</v>
      </c>
    </row>
    <row r="175" spans="2:9" x14ac:dyDescent="0.2">
      <c r="B175" s="274">
        <v>1</v>
      </c>
      <c r="C175" s="826" t="s">
        <v>38</v>
      </c>
      <c r="D175" s="273" t="s">
        <v>1205</v>
      </c>
      <c r="E175" s="768">
        <v>1968700593.55</v>
      </c>
      <c r="F175" s="768">
        <v>-354336194.5</v>
      </c>
      <c r="G175" s="768">
        <v>1614364399.05</v>
      </c>
      <c r="H175" s="768">
        <v>630787114.90999997</v>
      </c>
      <c r="I175" s="768">
        <v>983577284.13999999</v>
      </c>
    </row>
    <row r="176" spans="2:9" x14ac:dyDescent="0.2">
      <c r="B176" s="274">
        <v>1</v>
      </c>
      <c r="C176" s="826" t="s">
        <v>1245</v>
      </c>
      <c r="D176" s="273" t="s">
        <v>1206</v>
      </c>
      <c r="E176" s="768">
        <v>1798367462.55</v>
      </c>
      <c r="F176" s="768">
        <v>-354461488.10000002</v>
      </c>
      <c r="G176" s="768">
        <v>1443905974.45</v>
      </c>
      <c r="H176" s="768">
        <v>579713217.05999994</v>
      </c>
      <c r="I176" s="768">
        <v>864192757.38999999</v>
      </c>
    </row>
    <row r="177" spans="2:9" x14ac:dyDescent="0.2">
      <c r="B177" s="274">
        <v>1</v>
      </c>
      <c r="C177" s="826" t="s">
        <v>1246</v>
      </c>
      <c r="D177" s="273" t="s">
        <v>1207</v>
      </c>
      <c r="E177" s="768">
        <v>45801300</v>
      </c>
      <c r="F177" s="768">
        <v>0</v>
      </c>
      <c r="G177" s="768">
        <v>45801300</v>
      </c>
      <c r="H177" s="768">
        <v>19522708.199999999</v>
      </c>
      <c r="I177" s="768">
        <v>26278591.800000001</v>
      </c>
    </row>
    <row r="178" spans="2:9" x14ac:dyDescent="0.2">
      <c r="B178" s="274">
        <v>1</v>
      </c>
      <c r="C178" s="826" t="s">
        <v>1208</v>
      </c>
      <c r="D178" s="273" t="s">
        <v>1209</v>
      </c>
      <c r="E178" s="768">
        <v>124531831</v>
      </c>
      <c r="F178" s="768">
        <v>125293.6</v>
      </c>
      <c r="G178" s="768">
        <v>124657124.59999999</v>
      </c>
      <c r="H178" s="768">
        <v>31551189.649999999</v>
      </c>
      <c r="I178" s="768">
        <v>93105934.950000003</v>
      </c>
    </row>
    <row r="179" spans="2:9" x14ac:dyDescent="0.2">
      <c r="B179" s="274">
        <v>1</v>
      </c>
      <c r="C179" s="826" t="s">
        <v>1393</v>
      </c>
      <c r="D179" s="273" t="s">
        <v>1210</v>
      </c>
      <c r="E179" s="768">
        <v>192911785.71000001</v>
      </c>
      <c r="F179" s="768">
        <v>5666443.2199999997</v>
      </c>
      <c r="G179" s="768">
        <v>198578228.93000001</v>
      </c>
      <c r="H179" s="768">
        <v>87721285.400000006</v>
      </c>
      <c r="I179" s="768">
        <v>110856943.53</v>
      </c>
    </row>
    <row r="180" spans="2:9" x14ac:dyDescent="0.2">
      <c r="B180" s="274">
        <v>1</v>
      </c>
      <c r="C180" s="826" t="s">
        <v>1394</v>
      </c>
      <c r="D180" s="273" t="s">
        <v>1211</v>
      </c>
      <c r="E180" s="768">
        <v>192911785.71000001</v>
      </c>
      <c r="F180" s="768">
        <v>5666443.2199999997</v>
      </c>
      <c r="G180" s="768">
        <v>198578228.93000001</v>
      </c>
      <c r="H180" s="768">
        <v>87721285.400000006</v>
      </c>
      <c r="I180" s="768">
        <v>110856943.53</v>
      </c>
    </row>
    <row r="181" spans="2:9" x14ac:dyDescent="0.2">
      <c r="B181" s="274">
        <v>1</v>
      </c>
      <c r="C181" s="826" t="s">
        <v>1395</v>
      </c>
      <c r="D181" s="273" t="s">
        <v>1212</v>
      </c>
      <c r="E181" s="768">
        <v>306997557.06</v>
      </c>
      <c r="F181" s="768">
        <v>6188666.0499999998</v>
      </c>
      <c r="G181" s="768">
        <v>313186223.11000001</v>
      </c>
      <c r="H181" s="768">
        <v>190734523.83000001</v>
      </c>
      <c r="I181" s="768">
        <v>122451699.28</v>
      </c>
    </row>
    <row r="182" spans="2:9" x14ac:dyDescent="0.2">
      <c r="B182" s="274">
        <v>1</v>
      </c>
      <c r="C182" s="826" t="s">
        <v>46</v>
      </c>
      <c r="D182" s="273" t="s">
        <v>1213</v>
      </c>
      <c r="E182" s="768">
        <v>221000000</v>
      </c>
      <c r="F182" s="768">
        <v>0</v>
      </c>
      <c r="G182" s="768">
        <v>221000000</v>
      </c>
      <c r="H182" s="768">
        <v>93044797.25</v>
      </c>
      <c r="I182" s="768">
        <v>127955202.75</v>
      </c>
    </row>
    <row r="183" spans="2:9" x14ac:dyDescent="0.2">
      <c r="B183" s="274">
        <v>1</v>
      </c>
      <c r="C183" s="826" t="s">
        <v>1322</v>
      </c>
      <c r="D183" s="273" t="s">
        <v>1214</v>
      </c>
      <c r="E183" s="768">
        <v>350000000</v>
      </c>
      <c r="F183" s="768">
        <v>-66761190.439999998</v>
      </c>
      <c r="G183" s="768">
        <v>283238809.56</v>
      </c>
      <c r="H183" s="768">
        <v>234698337.34999999</v>
      </c>
      <c r="I183" s="768">
        <v>48540472.210000001</v>
      </c>
    </row>
    <row r="185" spans="2:9" s="771" customFormat="1" x14ac:dyDescent="0.2">
      <c r="B185" s="766">
        <v>1</v>
      </c>
      <c r="C185" s="824" t="s">
        <v>1396</v>
      </c>
      <c r="D185" s="771" t="s">
        <v>1215</v>
      </c>
      <c r="E185" s="825">
        <v>21594586544.130001</v>
      </c>
      <c r="F185" s="825">
        <v>10878757820.459999</v>
      </c>
      <c r="G185" s="825">
        <v>32473344364.59</v>
      </c>
      <c r="H185" s="825">
        <v>17305403888.099998</v>
      </c>
      <c r="I185" s="825">
        <v>15167940476.49</v>
      </c>
    </row>
    <row r="186" spans="2:9" x14ac:dyDescent="0.2">
      <c r="B186" s="274">
        <v>1</v>
      </c>
      <c r="C186" s="826" t="s">
        <v>1397</v>
      </c>
      <c r="D186" s="273" t="s">
        <v>1216</v>
      </c>
      <c r="E186" s="768">
        <v>1956510217.78</v>
      </c>
      <c r="F186" s="768">
        <v>-642980361.92999995</v>
      </c>
      <c r="G186" s="768">
        <v>1313529855.8499999</v>
      </c>
      <c r="H186" s="768">
        <v>416075713.35000002</v>
      </c>
      <c r="I186" s="768">
        <v>897454142.5</v>
      </c>
    </row>
    <row r="187" spans="2:9" x14ac:dyDescent="0.2">
      <c r="B187" s="274">
        <v>1</v>
      </c>
      <c r="C187" s="826" t="s">
        <v>137</v>
      </c>
      <c r="D187" s="273" t="s">
        <v>138</v>
      </c>
      <c r="E187" s="768">
        <v>1624125349.8299999</v>
      </c>
      <c r="F187" s="768">
        <v>-643571150.77999997</v>
      </c>
      <c r="G187" s="768">
        <v>980554199.04999995</v>
      </c>
      <c r="H187" s="768">
        <v>290600254.17000002</v>
      </c>
      <c r="I187" s="768">
        <v>689953944.88</v>
      </c>
    </row>
    <row r="188" spans="2:9" x14ac:dyDescent="0.2">
      <c r="B188" s="274">
        <v>1</v>
      </c>
      <c r="C188" s="826" t="s">
        <v>139</v>
      </c>
      <c r="D188" s="273" t="s">
        <v>140</v>
      </c>
      <c r="E188" s="768">
        <v>308398691.94999999</v>
      </c>
      <c r="F188" s="768">
        <v>590788.85</v>
      </c>
      <c r="G188" s="768">
        <v>308989480.80000001</v>
      </c>
      <c r="H188" s="768">
        <v>117806308.08</v>
      </c>
      <c r="I188" s="768">
        <v>191183172.72</v>
      </c>
    </row>
    <row r="189" spans="2:9" x14ac:dyDescent="0.2">
      <c r="B189" s="274">
        <v>1</v>
      </c>
      <c r="C189" s="826" t="s">
        <v>1601</v>
      </c>
      <c r="D189" s="273" t="s">
        <v>1728</v>
      </c>
      <c r="E189" s="768">
        <v>308398691.94999999</v>
      </c>
      <c r="F189" s="768">
        <v>590788.85</v>
      </c>
      <c r="G189" s="768">
        <v>308989480.80000001</v>
      </c>
      <c r="H189" s="768">
        <v>117806308.08</v>
      </c>
      <c r="I189" s="768">
        <v>191183172.72</v>
      </c>
    </row>
    <row r="190" spans="2:9" x14ac:dyDescent="0.2">
      <c r="B190" s="274">
        <v>1</v>
      </c>
      <c r="C190" s="826" t="s">
        <v>1671</v>
      </c>
      <c r="D190" s="273" t="s">
        <v>1672</v>
      </c>
      <c r="E190" s="768">
        <v>23986176</v>
      </c>
      <c r="F190" s="768">
        <v>0</v>
      </c>
      <c r="G190" s="768">
        <v>23986176</v>
      </c>
      <c r="H190" s="768">
        <v>7669151.0999999996</v>
      </c>
      <c r="I190" s="768">
        <v>16317024.9</v>
      </c>
    </row>
    <row r="191" spans="2:9" x14ac:dyDescent="0.2">
      <c r="B191" s="274">
        <v>1</v>
      </c>
      <c r="C191" s="826" t="s">
        <v>1398</v>
      </c>
      <c r="D191" s="273" t="s">
        <v>1217</v>
      </c>
      <c r="E191" s="768">
        <v>200190306.68000001</v>
      </c>
      <c r="F191" s="768">
        <v>2431622.2000000002</v>
      </c>
      <c r="G191" s="768">
        <v>202621928.88</v>
      </c>
      <c r="H191" s="768">
        <v>31533991.109999999</v>
      </c>
      <c r="I191" s="768">
        <v>171087937.77000001</v>
      </c>
    </row>
    <row r="192" spans="2:9" x14ac:dyDescent="0.2">
      <c r="B192" s="274">
        <v>1</v>
      </c>
      <c r="C192" s="826" t="s">
        <v>1399</v>
      </c>
      <c r="D192" s="273" t="s">
        <v>1218</v>
      </c>
      <c r="E192" s="768">
        <v>26692191</v>
      </c>
      <c r="F192" s="768">
        <v>0</v>
      </c>
      <c r="G192" s="768">
        <v>26692191</v>
      </c>
      <c r="H192" s="768">
        <v>0</v>
      </c>
      <c r="I192" s="768">
        <v>26692191</v>
      </c>
    </row>
    <row r="193" spans="2:9" x14ac:dyDescent="0.2">
      <c r="B193" s="274">
        <v>1</v>
      </c>
      <c r="C193" s="826" t="s">
        <v>1400</v>
      </c>
      <c r="D193" s="273" t="s">
        <v>3047</v>
      </c>
      <c r="E193" s="768">
        <v>16015315</v>
      </c>
      <c r="F193" s="768">
        <v>0</v>
      </c>
      <c r="G193" s="768">
        <v>16015315</v>
      </c>
      <c r="H193" s="768">
        <v>0</v>
      </c>
      <c r="I193" s="768">
        <v>16015315</v>
      </c>
    </row>
    <row r="194" spans="2:9" x14ac:dyDescent="0.2">
      <c r="B194" s="274">
        <v>1</v>
      </c>
      <c r="C194" s="826" t="s">
        <v>1401</v>
      </c>
      <c r="D194" s="273" t="s">
        <v>1405</v>
      </c>
      <c r="E194" s="768">
        <v>10676876</v>
      </c>
      <c r="F194" s="768">
        <v>0</v>
      </c>
      <c r="G194" s="768">
        <v>10676876</v>
      </c>
      <c r="H194" s="768">
        <v>0</v>
      </c>
      <c r="I194" s="768">
        <v>10676876</v>
      </c>
    </row>
    <row r="195" spans="2:9" x14ac:dyDescent="0.2">
      <c r="B195" s="274">
        <v>1</v>
      </c>
      <c r="C195" s="826" t="s">
        <v>47</v>
      </c>
      <c r="D195" s="273" t="s">
        <v>1406</v>
      </c>
      <c r="E195" s="768">
        <v>1366301226.72</v>
      </c>
      <c r="F195" s="768">
        <v>121330330.52</v>
      </c>
      <c r="G195" s="768">
        <v>1487631557.24</v>
      </c>
      <c r="H195" s="768">
        <v>804239574.17999995</v>
      </c>
      <c r="I195" s="768">
        <v>683391983.05999994</v>
      </c>
    </row>
    <row r="196" spans="2:9" x14ac:dyDescent="0.2">
      <c r="B196" s="274">
        <v>1</v>
      </c>
      <c r="C196" s="826" t="s">
        <v>48</v>
      </c>
      <c r="D196" s="273" t="s">
        <v>1407</v>
      </c>
      <c r="E196" s="768">
        <v>14518954380.290001</v>
      </c>
      <c r="F196" s="768">
        <v>11209932834.530001</v>
      </c>
      <c r="G196" s="768">
        <v>25728887214.82</v>
      </c>
      <c r="H196" s="768">
        <v>14087108577</v>
      </c>
      <c r="I196" s="768">
        <v>11641778637.82</v>
      </c>
    </row>
    <row r="197" spans="2:9" x14ac:dyDescent="0.2">
      <c r="B197" s="274">
        <v>1</v>
      </c>
      <c r="C197" s="826" t="s">
        <v>49</v>
      </c>
      <c r="D197" s="273" t="s">
        <v>1408</v>
      </c>
      <c r="E197" s="768">
        <v>1348674730.48</v>
      </c>
      <c r="F197" s="768">
        <v>106961964.42</v>
      </c>
      <c r="G197" s="768">
        <v>1455636694.9000001</v>
      </c>
      <c r="H197" s="768">
        <v>803118196.76999998</v>
      </c>
      <c r="I197" s="768">
        <v>652518498.13</v>
      </c>
    </row>
    <row r="198" spans="2:9" x14ac:dyDescent="0.2">
      <c r="B198" s="274">
        <v>1</v>
      </c>
      <c r="C198" s="826" t="s">
        <v>218</v>
      </c>
      <c r="D198" s="273" t="s">
        <v>1409</v>
      </c>
      <c r="E198" s="768">
        <v>2021202091.1800001</v>
      </c>
      <c r="F198" s="768">
        <v>112078878.08</v>
      </c>
      <c r="G198" s="768">
        <v>2133280969.26</v>
      </c>
      <c r="H198" s="768">
        <v>1065465808.59</v>
      </c>
      <c r="I198" s="768">
        <v>1067815160.67</v>
      </c>
    </row>
    <row r="199" spans="2:9" x14ac:dyDescent="0.2">
      <c r="B199" s="274">
        <v>1</v>
      </c>
      <c r="C199" s="826" t="s">
        <v>1247</v>
      </c>
      <c r="D199" s="273" t="s">
        <v>1410</v>
      </c>
      <c r="E199" s="768">
        <v>66061400</v>
      </c>
      <c r="F199" s="768">
        <v>0</v>
      </c>
      <c r="G199" s="768">
        <v>66061400</v>
      </c>
      <c r="H199" s="768">
        <v>15279348.449999999</v>
      </c>
      <c r="I199" s="768">
        <v>50782051.549999997</v>
      </c>
    </row>
    <row r="200" spans="2:9" x14ac:dyDescent="0.2">
      <c r="B200" s="274">
        <v>1</v>
      </c>
      <c r="C200" s="826" t="s">
        <v>1323</v>
      </c>
      <c r="D200" s="273" t="s">
        <v>1411</v>
      </c>
      <c r="E200" s="768">
        <v>90000000</v>
      </c>
      <c r="F200" s="768">
        <v>-30997447.359999999</v>
      </c>
      <c r="G200" s="768">
        <v>59002552.640000001</v>
      </c>
      <c r="H200" s="768">
        <v>82582678.650000006</v>
      </c>
      <c r="I200" s="768">
        <v>-23580126.010000002</v>
      </c>
    </row>
    <row r="202" spans="2:9" s="771" customFormat="1" x14ac:dyDescent="0.2">
      <c r="B202" s="766">
        <v>1</v>
      </c>
      <c r="C202" s="824" t="s">
        <v>1402</v>
      </c>
      <c r="D202" s="771" t="s">
        <v>1412</v>
      </c>
      <c r="E202" s="825">
        <v>33715961641.07</v>
      </c>
      <c r="F202" s="825">
        <v>6261018276.4799995</v>
      </c>
      <c r="G202" s="825">
        <v>39976979917.550003</v>
      </c>
      <c r="H202" s="825">
        <v>18541363010.310001</v>
      </c>
      <c r="I202" s="825">
        <v>21435616907.240002</v>
      </c>
    </row>
    <row r="203" spans="2:9" x14ac:dyDescent="0.2">
      <c r="B203" s="274">
        <v>1</v>
      </c>
      <c r="C203" s="826" t="s">
        <v>1403</v>
      </c>
      <c r="D203" s="273" t="s">
        <v>1051</v>
      </c>
      <c r="E203" s="768">
        <v>13961178351.040001</v>
      </c>
      <c r="F203" s="768">
        <v>6060345717.4300003</v>
      </c>
      <c r="G203" s="768">
        <v>20021524068.470001</v>
      </c>
      <c r="H203" s="768">
        <v>9484985426.3500004</v>
      </c>
      <c r="I203" s="768">
        <v>10536538642.120001</v>
      </c>
    </row>
    <row r="204" spans="2:9" x14ac:dyDescent="0.2">
      <c r="B204" s="274">
        <v>1</v>
      </c>
      <c r="C204" s="826" t="s">
        <v>1404</v>
      </c>
      <c r="D204" s="273" t="s">
        <v>1052</v>
      </c>
      <c r="E204" s="768">
        <v>2274503551.4499998</v>
      </c>
      <c r="F204" s="768">
        <v>183164699.12</v>
      </c>
      <c r="G204" s="768">
        <v>2457668250.5700002</v>
      </c>
      <c r="H204" s="768">
        <v>1301933229.22</v>
      </c>
      <c r="I204" s="768">
        <v>1155735021.3499999</v>
      </c>
    </row>
    <row r="205" spans="2:9" x14ac:dyDescent="0.2">
      <c r="B205" s="274">
        <v>1</v>
      </c>
      <c r="C205" s="826" t="s">
        <v>304</v>
      </c>
      <c r="D205" s="273" t="s">
        <v>1053</v>
      </c>
      <c r="E205" s="768">
        <v>2144156763.5899999</v>
      </c>
      <c r="F205" s="768">
        <v>167522831.34</v>
      </c>
      <c r="G205" s="768">
        <v>2311679594.9299998</v>
      </c>
      <c r="H205" s="768">
        <v>1216244472.9000001</v>
      </c>
      <c r="I205" s="768">
        <v>1095435122.03</v>
      </c>
    </row>
    <row r="206" spans="2:9" x14ac:dyDescent="0.2">
      <c r="B206" s="274">
        <v>1</v>
      </c>
      <c r="C206" s="826" t="s">
        <v>305</v>
      </c>
      <c r="D206" s="273" t="s">
        <v>1054</v>
      </c>
      <c r="E206" s="768">
        <v>9542518036</v>
      </c>
      <c r="F206" s="768">
        <v>5709658186.9700003</v>
      </c>
      <c r="G206" s="768">
        <v>15252176222.969999</v>
      </c>
      <c r="H206" s="768">
        <v>6966807724.2299995</v>
      </c>
      <c r="I206" s="768">
        <v>8285368498.7399998</v>
      </c>
    </row>
    <row r="207" spans="2:9" x14ac:dyDescent="0.2">
      <c r="B207" s="274">
        <v>1</v>
      </c>
      <c r="C207" s="826" t="s">
        <v>306</v>
      </c>
      <c r="D207" s="273" t="s">
        <v>1336</v>
      </c>
      <c r="E207" s="768">
        <v>17524783290.029999</v>
      </c>
      <c r="F207" s="768">
        <v>-267225135.86000001</v>
      </c>
      <c r="G207" s="768">
        <v>17257558154.169998</v>
      </c>
      <c r="H207" s="768">
        <v>7044541687.1899996</v>
      </c>
      <c r="I207" s="768">
        <v>10213016466.98</v>
      </c>
    </row>
    <row r="208" spans="2:9" x14ac:dyDescent="0.2">
      <c r="B208" s="274">
        <v>1</v>
      </c>
      <c r="C208" s="826" t="s">
        <v>616</v>
      </c>
      <c r="D208" s="273" t="s">
        <v>1055</v>
      </c>
      <c r="E208" s="768">
        <v>1937728786.47</v>
      </c>
      <c r="F208" s="768">
        <v>165851115.61000001</v>
      </c>
      <c r="G208" s="768">
        <v>2103579902.0799999</v>
      </c>
      <c r="H208" s="768">
        <v>1143071038.5599999</v>
      </c>
      <c r="I208" s="768">
        <v>960508863.51999998</v>
      </c>
    </row>
    <row r="209" spans="2:9" x14ac:dyDescent="0.2">
      <c r="B209" s="274">
        <v>1</v>
      </c>
      <c r="C209" s="826" t="s">
        <v>617</v>
      </c>
      <c r="D209" s="273" t="s">
        <v>1056</v>
      </c>
      <c r="E209" s="768">
        <v>12263965386.719999</v>
      </c>
      <c r="F209" s="768">
        <v>913290657.60000002</v>
      </c>
      <c r="G209" s="768">
        <v>13177256044.32</v>
      </c>
      <c r="H209" s="768">
        <v>5575330326.5799999</v>
      </c>
      <c r="I209" s="768">
        <v>7601925717.7399998</v>
      </c>
    </row>
    <row r="210" spans="2:9" x14ac:dyDescent="0.2">
      <c r="B210" s="274">
        <v>1</v>
      </c>
      <c r="C210" s="826" t="s">
        <v>618</v>
      </c>
      <c r="D210" s="273" t="s">
        <v>1057</v>
      </c>
      <c r="E210" s="768">
        <v>661920423.88</v>
      </c>
      <c r="F210" s="768">
        <v>66277195.799999997</v>
      </c>
      <c r="G210" s="768">
        <v>728197619.67999995</v>
      </c>
      <c r="H210" s="768">
        <v>386221344.82999998</v>
      </c>
      <c r="I210" s="768">
        <v>341976274.85000002</v>
      </c>
    </row>
    <row r="211" spans="2:9" x14ac:dyDescent="0.2">
      <c r="B211" s="274">
        <v>1</v>
      </c>
      <c r="C211" s="826" t="s">
        <v>619</v>
      </c>
      <c r="D211" s="273" t="s">
        <v>4140</v>
      </c>
      <c r="E211" s="768">
        <v>3711484456.98</v>
      </c>
      <c r="F211" s="768">
        <v>385226660.95999998</v>
      </c>
      <c r="G211" s="768">
        <v>4096711117.9400001</v>
      </c>
      <c r="H211" s="768">
        <v>1809683335.3800001</v>
      </c>
      <c r="I211" s="768">
        <v>2287027782.5599999</v>
      </c>
    </row>
    <row r="212" spans="2:9" x14ac:dyDescent="0.2">
      <c r="B212" s="274">
        <v>1</v>
      </c>
      <c r="C212" s="826" t="s">
        <v>620</v>
      </c>
      <c r="D212" s="273" t="s">
        <v>4141</v>
      </c>
      <c r="E212" s="768">
        <v>218842951.66</v>
      </c>
      <c r="F212" s="768">
        <v>19999708.469999999</v>
      </c>
      <c r="G212" s="768">
        <v>238842660.13</v>
      </c>
      <c r="H212" s="768">
        <v>107470975.25</v>
      </c>
      <c r="I212" s="768">
        <v>131371684.88</v>
      </c>
    </row>
    <row r="213" spans="2:9" x14ac:dyDescent="0.2">
      <c r="B213" s="274">
        <v>1</v>
      </c>
      <c r="C213" s="826" t="s">
        <v>621</v>
      </c>
      <c r="D213" s="273" t="s">
        <v>4142</v>
      </c>
      <c r="E213" s="768">
        <v>1811190717.8399999</v>
      </c>
      <c r="F213" s="768">
        <v>79519807.390000001</v>
      </c>
      <c r="G213" s="768">
        <v>1890710525.23</v>
      </c>
      <c r="H213" s="768">
        <v>739525222.16999996</v>
      </c>
      <c r="I213" s="768">
        <v>1151185303.0599999</v>
      </c>
    </row>
    <row r="214" spans="2:9" x14ac:dyDescent="0.2">
      <c r="B214" s="274">
        <v>1</v>
      </c>
      <c r="C214" s="826" t="s">
        <v>622</v>
      </c>
      <c r="D214" s="273" t="s">
        <v>4143</v>
      </c>
      <c r="E214" s="768">
        <v>2916504810.1399999</v>
      </c>
      <c r="F214" s="768">
        <v>275210785.16000003</v>
      </c>
      <c r="G214" s="768">
        <v>3191715595.3000002</v>
      </c>
      <c r="H214" s="768">
        <v>1836595246.51</v>
      </c>
      <c r="I214" s="768">
        <v>1355120348.79</v>
      </c>
    </row>
    <row r="215" spans="2:9" x14ac:dyDescent="0.2">
      <c r="B215" s="274">
        <v>1</v>
      </c>
      <c r="C215" s="826" t="s">
        <v>623</v>
      </c>
      <c r="D215" s="273" t="s">
        <v>4144</v>
      </c>
      <c r="E215" s="768">
        <v>1295204929.6700001</v>
      </c>
      <c r="F215" s="768">
        <v>18621534.329999998</v>
      </c>
      <c r="G215" s="768">
        <v>1313826464</v>
      </c>
      <c r="H215" s="768">
        <v>397196601.57999998</v>
      </c>
      <c r="I215" s="768">
        <v>916629862.41999996</v>
      </c>
    </row>
    <row r="216" spans="2:9" x14ac:dyDescent="0.2">
      <c r="B216" s="274">
        <v>1</v>
      </c>
      <c r="C216" s="826" t="s">
        <v>624</v>
      </c>
      <c r="D216" s="273" t="s">
        <v>4145</v>
      </c>
      <c r="E216" s="768">
        <v>998316436.54999995</v>
      </c>
      <c r="F216" s="768">
        <v>31373715.489999998</v>
      </c>
      <c r="G216" s="768">
        <v>1029690152.04</v>
      </c>
      <c r="H216" s="768">
        <v>292413328.11000001</v>
      </c>
      <c r="I216" s="768">
        <v>737276823.92999995</v>
      </c>
    </row>
    <row r="217" spans="2:9" x14ac:dyDescent="0.2">
      <c r="B217" s="274">
        <v>1</v>
      </c>
      <c r="C217" s="826" t="s">
        <v>374</v>
      </c>
      <c r="D217" s="273" t="s">
        <v>1058</v>
      </c>
      <c r="E217" s="768">
        <v>650500660</v>
      </c>
      <c r="F217" s="768">
        <v>37061250</v>
      </c>
      <c r="G217" s="768">
        <v>687561910</v>
      </c>
      <c r="H217" s="768">
        <v>6224272.75</v>
      </c>
      <c r="I217" s="768">
        <v>681337637.25</v>
      </c>
    </row>
    <row r="218" spans="2:9" x14ac:dyDescent="0.2">
      <c r="B218" s="274">
        <v>1</v>
      </c>
      <c r="C218" s="826" t="s">
        <v>625</v>
      </c>
      <c r="D218" s="273" t="s">
        <v>1059</v>
      </c>
      <c r="E218" s="768">
        <v>3082111816.8400002</v>
      </c>
      <c r="F218" s="768">
        <v>-1346366909.0699999</v>
      </c>
      <c r="G218" s="768">
        <v>1735744907.77</v>
      </c>
      <c r="H218" s="768">
        <v>310084056.25</v>
      </c>
      <c r="I218" s="768">
        <v>1425660851.52</v>
      </c>
    </row>
    <row r="219" spans="2:9" x14ac:dyDescent="0.2">
      <c r="B219" s="274">
        <v>1</v>
      </c>
      <c r="C219" s="826" t="s">
        <v>375</v>
      </c>
      <c r="D219" s="273" t="s">
        <v>1060</v>
      </c>
      <c r="E219" s="768">
        <v>240977300</v>
      </c>
      <c r="F219" s="768">
        <v>0</v>
      </c>
      <c r="G219" s="768">
        <v>240977300</v>
      </c>
      <c r="H219" s="768">
        <v>16056265.800000001</v>
      </c>
      <c r="I219" s="768">
        <v>224921034.19999999</v>
      </c>
    </row>
    <row r="220" spans="2:9" x14ac:dyDescent="0.2">
      <c r="B220" s="274">
        <v>1</v>
      </c>
      <c r="C220" s="826" t="s">
        <v>1324</v>
      </c>
      <c r="D220" s="273" t="s">
        <v>1061</v>
      </c>
      <c r="E220" s="768">
        <v>2230000000</v>
      </c>
      <c r="F220" s="768">
        <v>467897694.91000003</v>
      </c>
      <c r="G220" s="768">
        <v>2697897694.9099998</v>
      </c>
      <c r="H220" s="768">
        <v>2011835896.77</v>
      </c>
      <c r="I220" s="768">
        <v>686061798.13999999</v>
      </c>
    </row>
    <row r="222" spans="2:9" s="771" customFormat="1" x14ac:dyDescent="0.2">
      <c r="B222" s="766">
        <v>1</v>
      </c>
      <c r="C222" s="824" t="s">
        <v>537</v>
      </c>
      <c r="D222" s="771" t="s">
        <v>1062</v>
      </c>
      <c r="E222" s="825">
        <v>41994077581.389999</v>
      </c>
      <c r="F222" s="825">
        <v>-2471264380.9200001</v>
      </c>
      <c r="G222" s="825">
        <v>39522813200.470001</v>
      </c>
      <c r="H222" s="825">
        <v>17149378238.940001</v>
      </c>
      <c r="I222" s="825">
        <v>22373434961.529999</v>
      </c>
    </row>
    <row r="223" spans="2:9" x14ac:dyDescent="0.2">
      <c r="B223" s="274">
        <v>1</v>
      </c>
      <c r="C223" s="826" t="s">
        <v>538</v>
      </c>
      <c r="D223" s="273" t="s">
        <v>1063</v>
      </c>
      <c r="E223" s="768">
        <v>1780977789.98</v>
      </c>
      <c r="F223" s="768">
        <v>137242911.00999999</v>
      </c>
      <c r="G223" s="768">
        <v>1918220700.99</v>
      </c>
      <c r="H223" s="768">
        <v>1190104665.6700001</v>
      </c>
      <c r="I223" s="768">
        <v>728116035.32000005</v>
      </c>
    </row>
    <row r="224" spans="2:9" x14ac:dyDescent="0.2">
      <c r="B224" s="274">
        <v>1</v>
      </c>
      <c r="C224" s="826" t="s">
        <v>539</v>
      </c>
      <c r="D224" s="273" t="s">
        <v>1064</v>
      </c>
      <c r="E224" s="768">
        <v>1024336424.63</v>
      </c>
      <c r="F224" s="768">
        <v>140268775.88</v>
      </c>
      <c r="G224" s="768">
        <v>1164605200.51</v>
      </c>
      <c r="H224" s="768">
        <v>500290993.85000002</v>
      </c>
      <c r="I224" s="768">
        <v>664314206.65999997</v>
      </c>
    </row>
    <row r="225" spans="2:9" x14ac:dyDescent="0.2">
      <c r="B225" s="274">
        <v>1</v>
      </c>
      <c r="C225" s="826" t="s">
        <v>540</v>
      </c>
      <c r="D225" s="273" t="s">
        <v>1065</v>
      </c>
      <c r="E225" s="768">
        <v>4291451548.8499999</v>
      </c>
      <c r="F225" s="768">
        <v>349908198.38999999</v>
      </c>
      <c r="G225" s="768">
        <v>4641359747.2399998</v>
      </c>
      <c r="H225" s="768">
        <v>2364654716.7600002</v>
      </c>
      <c r="I225" s="768">
        <v>2276705030.48</v>
      </c>
    </row>
    <row r="226" spans="2:9" x14ac:dyDescent="0.2">
      <c r="B226" s="274">
        <v>1</v>
      </c>
      <c r="C226" s="826" t="s">
        <v>541</v>
      </c>
      <c r="D226" s="273" t="s">
        <v>1066</v>
      </c>
      <c r="E226" s="768">
        <v>576608538.38999999</v>
      </c>
      <c r="F226" s="768">
        <v>56809209.350000001</v>
      </c>
      <c r="G226" s="768">
        <v>633417747.74000001</v>
      </c>
      <c r="H226" s="768">
        <v>374011512.25</v>
      </c>
      <c r="I226" s="768">
        <v>259406235.49000001</v>
      </c>
    </row>
    <row r="227" spans="2:9" x14ac:dyDescent="0.2">
      <c r="B227" s="274">
        <v>1</v>
      </c>
      <c r="C227" s="826" t="s">
        <v>542</v>
      </c>
      <c r="D227" s="273" t="s">
        <v>1067</v>
      </c>
      <c r="E227" s="768">
        <v>1413031301.1199999</v>
      </c>
      <c r="F227" s="768">
        <v>106939413.25</v>
      </c>
      <c r="G227" s="768">
        <v>1519970714.3699999</v>
      </c>
      <c r="H227" s="768">
        <v>750889979.38999999</v>
      </c>
      <c r="I227" s="768">
        <v>769080734.98000002</v>
      </c>
    </row>
    <row r="228" spans="2:9" x14ac:dyDescent="0.2">
      <c r="B228" s="274">
        <v>1</v>
      </c>
      <c r="C228" s="826" t="s">
        <v>544</v>
      </c>
      <c r="D228" s="273" t="s">
        <v>545</v>
      </c>
      <c r="E228" s="768">
        <v>946252838.51999998</v>
      </c>
      <c r="F228" s="768">
        <v>72455132.980000004</v>
      </c>
      <c r="G228" s="768">
        <v>1018707971.5</v>
      </c>
      <c r="H228" s="768">
        <v>456826495.50999999</v>
      </c>
      <c r="I228" s="768">
        <v>561881475.99000001</v>
      </c>
    </row>
    <row r="229" spans="2:9" x14ac:dyDescent="0.2">
      <c r="B229" s="274">
        <v>1</v>
      </c>
      <c r="C229" s="826" t="s">
        <v>546</v>
      </c>
      <c r="D229" s="273" t="s">
        <v>1068</v>
      </c>
      <c r="E229" s="768">
        <v>427986813.04000002</v>
      </c>
      <c r="F229" s="768">
        <v>34910532.579999998</v>
      </c>
      <c r="G229" s="768">
        <v>462897345.62</v>
      </c>
      <c r="H229" s="768">
        <v>256348388.74000001</v>
      </c>
      <c r="I229" s="768">
        <v>206548956.88</v>
      </c>
    </row>
    <row r="230" spans="2:9" x14ac:dyDescent="0.2">
      <c r="B230" s="274">
        <v>1</v>
      </c>
      <c r="C230" s="826" t="s">
        <v>547</v>
      </c>
      <c r="D230" s="273" t="s">
        <v>1069</v>
      </c>
      <c r="E230" s="768">
        <v>927572057.77999997</v>
      </c>
      <c r="F230" s="768">
        <v>78793910.230000004</v>
      </c>
      <c r="G230" s="768">
        <v>1006365968.01</v>
      </c>
      <c r="H230" s="768">
        <v>526578340.87</v>
      </c>
      <c r="I230" s="768">
        <v>479787627.13999999</v>
      </c>
    </row>
    <row r="231" spans="2:9" x14ac:dyDescent="0.2">
      <c r="B231" s="274">
        <v>1</v>
      </c>
      <c r="C231" s="826" t="s">
        <v>426</v>
      </c>
      <c r="D231" s="273" t="s">
        <v>1070</v>
      </c>
      <c r="E231" s="768">
        <v>3320874286.4000001</v>
      </c>
      <c r="F231" s="768">
        <v>278175285.44</v>
      </c>
      <c r="G231" s="768">
        <v>3599049571.8400002</v>
      </c>
      <c r="H231" s="768">
        <v>1894252661.9300001</v>
      </c>
      <c r="I231" s="768">
        <v>1704796909.9100001</v>
      </c>
    </row>
    <row r="232" spans="2:9" x14ac:dyDescent="0.2">
      <c r="B232" s="274">
        <v>1</v>
      </c>
      <c r="C232" s="826" t="s">
        <v>427</v>
      </c>
      <c r="D232" s="273" t="s">
        <v>1071</v>
      </c>
      <c r="E232" s="768">
        <v>128586329.31999999</v>
      </c>
      <c r="F232" s="768">
        <v>14762517.289999999</v>
      </c>
      <c r="G232" s="768">
        <v>143348846.61000001</v>
      </c>
      <c r="H232" s="768">
        <v>118373738.77</v>
      </c>
      <c r="I232" s="768">
        <v>24975107.84</v>
      </c>
    </row>
    <row r="233" spans="2:9" x14ac:dyDescent="0.2">
      <c r="B233" s="274">
        <v>1</v>
      </c>
      <c r="C233" s="826" t="s">
        <v>428</v>
      </c>
      <c r="D233" s="273" t="s">
        <v>1072</v>
      </c>
      <c r="E233" s="768">
        <v>367031636.41000003</v>
      </c>
      <c r="F233" s="768">
        <v>36300144.299999997</v>
      </c>
      <c r="G233" s="768">
        <v>403331780.70999998</v>
      </c>
      <c r="H233" s="768">
        <v>231365736.25</v>
      </c>
      <c r="I233" s="768">
        <v>171966044.46000001</v>
      </c>
    </row>
    <row r="234" spans="2:9" x14ac:dyDescent="0.2">
      <c r="B234" s="274">
        <v>1</v>
      </c>
      <c r="C234" s="826" t="s">
        <v>429</v>
      </c>
      <c r="D234" s="273" t="s">
        <v>1073</v>
      </c>
      <c r="E234" s="768">
        <v>70372452.359999999</v>
      </c>
      <c r="F234" s="768">
        <v>10018919.470000001</v>
      </c>
      <c r="G234" s="768">
        <v>80391371.829999998</v>
      </c>
      <c r="H234" s="768">
        <v>75309030.709999993</v>
      </c>
      <c r="I234" s="768">
        <v>5082341.12</v>
      </c>
    </row>
    <row r="235" spans="2:9" x14ac:dyDescent="0.2">
      <c r="B235" s="274">
        <v>1</v>
      </c>
      <c r="C235" s="826" t="s">
        <v>430</v>
      </c>
      <c r="D235" s="273" t="s">
        <v>1074</v>
      </c>
      <c r="E235" s="768">
        <v>423312397.14999998</v>
      </c>
      <c r="F235" s="768">
        <v>34853321.630000003</v>
      </c>
      <c r="G235" s="768">
        <v>458165718.77999997</v>
      </c>
      <c r="H235" s="768">
        <v>215670266.21000001</v>
      </c>
      <c r="I235" s="768">
        <v>242495452.56999999</v>
      </c>
    </row>
    <row r="236" spans="2:9" x14ac:dyDescent="0.2">
      <c r="B236" s="274">
        <v>1</v>
      </c>
      <c r="C236" s="826" t="s">
        <v>431</v>
      </c>
      <c r="D236" s="273" t="s">
        <v>1075</v>
      </c>
      <c r="E236" s="768">
        <v>414623752.68000001</v>
      </c>
      <c r="F236" s="768">
        <v>33848971.340000004</v>
      </c>
      <c r="G236" s="768">
        <v>448472724.01999998</v>
      </c>
      <c r="H236" s="768">
        <v>230204907.03</v>
      </c>
      <c r="I236" s="768">
        <v>218267816.99000001</v>
      </c>
    </row>
    <row r="237" spans="2:9" x14ac:dyDescent="0.2">
      <c r="B237" s="274">
        <v>1</v>
      </c>
      <c r="C237" s="826" t="s">
        <v>432</v>
      </c>
      <c r="D237" s="273" t="s">
        <v>1076</v>
      </c>
      <c r="E237" s="768">
        <v>775840510.20000005</v>
      </c>
      <c r="F237" s="768">
        <v>61718525.219999999</v>
      </c>
      <c r="G237" s="768">
        <v>837559035.41999996</v>
      </c>
      <c r="H237" s="768">
        <v>421374008.94</v>
      </c>
      <c r="I237" s="768">
        <v>416185026.48000002</v>
      </c>
    </row>
    <row r="238" spans="2:9" x14ac:dyDescent="0.2">
      <c r="B238" s="274">
        <v>1</v>
      </c>
      <c r="C238" s="826" t="s">
        <v>433</v>
      </c>
      <c r="D238" s="273" t="s">
        <v>1077</v>
      </c>
      <c r="E238" s="768">
        <v>449148187.22000003</v>
      </c>
      <c r="F238" s="768">
        <v>33769858.740000002</v>
      </c>
      <c r="G238" s="768">
        <v>482918045.95999998</v>
      </c>
      <c r="H238" s="768">
        <v>221587401.90000001</v>
      </c>
      <c r="I238" s="768">
        <v>261330644.06</v>
      </c>
    </row>
    <row r="239" spans="2:9" x14ac:dyDescent="0.2">
      <c r="B239" s="274">
        <v>1</v>
      </c>
      <c r="C239" s="826" t="s">
        <v>434</v>
      </c>
      <c r="D239" s="273" t="s">
        <v>1078</v>
      </c>
      <c r="E239" s="768">
        <v>332153153.26999998</v>
      </c>
      <c r="F239" s="768">
        <v>25895153.190000001</v>
      </c>
      <c r="G239" s="768">
        <v>358048306.45999998</v>
      </c>
      <c r="H239" s="768">
        <v>184776168.63</v>
      </c>
      <c r="I239" s="768">
        <v>173272137.83000001</v>
      </c>
    </row>
    <row r="240" spans="2:9" x14ac:dyDescent="0.2">
      <c r="B240" s="274">
        <v>1</v>
      </c>
      <c r="C240" s="826" t="s">
        <v>435</v>
      </c>
      <c r="D240" s="273" t="s">
        <v>1079</v>
      </c>
      <c r="E240" s="768">
        <v>359805867.79000002</v>
      </c>
      <c r="F240" s="768">
        <v>27007874.260000002</v>
      </c>
      <c r="G240" s="768">
        <v>386813742.05000001</v>
      </c>
      <c r="H240" s="768">
        <v>195591403.49000001</v>
      </c>
      <c r="I240" s="768">
        <v>191222338.56</v>
      </c>
    </row>
    <row r="241" spans="2:9" x14ac:dyDescent="0.2">
      <c r="B241" s="274">
        <v>1</v>
      </c>
      <c r="C241" s="826" t="s">
        <v>436</v>
      </c>
      <c r="D241" s="273" t="s">
        <v>1080</v>
      </c>
      <c r="E241" s="768">
        <v>10444110291.75</v>
      </c>
      <c r="F241" s="768">
        <v>1660585558.3199999</v>
      </c>
      <c r="G241" s="768">
        <v>12104695850.07</v>
      </c>
      <c r="H241" s="768">
        <v>5891909042.1300001</v>
      </c>
      <c r="I241" s="768">
        <v>6212786807.9399996</v>
      </c>
    </row>
    <row r="242" spans="2:9" x14ac:dyDescent="0.2">
      <c r="B242" s="274">
        <v>1</v>
      </c>
      <c r="C242" s="826" t="s">
        <v>437</v>
      </c>
      <c r="D242" s="273" t="s">
        <v>1081</v>
      </c>
      <c r="E242" s="768">
        <v>1175266539</v>
      </c>
      <c r="F242" s="768">
        <v>103781524.31999999</v>
      </c>
      <c r="G242" s="768">
        <v>1279048063.3199999</v>
      </c>
      <c r="H242" s="768">
        <v>756289170.98000002</v>
      </c>
      <c r="I242" s="768">
        <v>522758892.33999997</v>
      </c>
    </row>
    <row r="243" spans="2:9" x14ac:dyDescent="0.2">
      <c r="B243" s="274">
        <v>1</v>
      </c>
      <c r="C243" s="826" t="s">
        <v>438</v>
      </c>
      <c r="D243" s="273" t="s">
        <v>1082</v>
      </c>
      <c r="E243" s="768">
        <v>1685555996.3199999</v>
      </c>
      <c r="F243" s="768">
        <v>133128291.28</v>
      </c>
      <c r="G243" s="768">
        <v>1818684287.5999999</v>
      </c>
      <c r="H243" s="768">
        <v>979789456.32000005</v>
      </c>
      <c r="I243" s="768">
        <v>838894831.27999997</v>
      </c>
    </row>
    <row r="244" spans="2:9" x14ac:dyDescent="0.2">
      <c r="B244" s="274">
        <v>1</v>
      </c>
      <c r="C244" s="826" t="s">
        <v>439</v>
      </c>
      <c r="D244" s="273" t="s">
        <v>1083</v>
      </c>
      <c r="E244" s="768">
        <v>613488347.13</v>
      </c>
      <c r="F244" s="768">
        <v>53330024.670000002</v>
      </c>
      <c r="G244" s="768">
        <v>666818371.79999995</v>
      </c>
      <c r="H244" s="768">
        <v>375364057.85000002</v>
      </c>
      <c r="I244" s="768">
        <v>291454313.94999999</v>
      </c>
    </row>
    <row r="245" spans="2:9" x14ac:dyDescent="0.2">
      <c r="B245" s="274">
        <v>1</v>
      </c>
      <c r="C245" s="826" t="s">
        <v>440</v>
      </c>
      <c r="D245" s="273" t="s">
        <v>1084</v>
      </c>
      <c r="E245" s="768">
        <v>963833337.40999997</v>
      </c>
      <c r="F245" s="768">
        <v>72608863.230000004</v>
      </c>
      <c r="G245" s="768">
        <v>1036442200.64</v>
      </c>
      <c r="H245" s="768">
        <v>433131804.30000001</v>
      </c>
      <c r="I245" s="768">
        <v>603310396.34000003</v>
      </c>
    </row>
    <row r="246" spans="2:9" x14ac:dyDescent="0.2">
      <c r="B246" s="274">
        <v>1</v>
      </c>
      <c r="C246" s="826" t="s">
        <v>441</v>
      </c>
      <c r="D246" s="273" t="s">
        <v>1085</v>
      </c>
      <c r="E246" s="768">
        <v>3104625898.8200002</v>
      </c>
      <c r="F246" s="768">
        <v>42147989.280000001</v>
      </c>
      <c r="G246" s="768">
        <v>3146773888.0999999</v>
      </c>
      <c r="H246" s="768">
        <v>1730677079.5899999</v>
      </c>
      <c r="I246" s="768">
        <v>1416096808.51</v>
      </c>
    </row>
    <row r="247" spans="2:9" x14ac:dyDescent="0.2">
      <c r="B247" s="274">
        <v>1</v>
      </c>
      <c r="C247" s="826" t="s">
        <v>442</v>
      </c>
      <c r="D247" s="273" t="s">
        <v>1086</v>
      </c>
      <c r="E247" s="768">
        <v>2901340173.0700002</v>
      </c>
      <c r="F247" s="768">
        <v>1255588865.54</v>
      </c>
      <c r="G247" s="768">
        <v>4156929038.6100001</v>
      </c>
      <c r="H247" s="768">
        <v>1616657473.0899999</v>
      </c>
      <c r="I247" s="768">
        <v>2540271565.52</v>
      </c>
    </row>
    <row r="248" spans="2:9" x14ac:dyDescent="0.2">
      <c r="B248" s="274">
        <v>1</v>
      </c>
      <c r="C248" s="826" t="s">
        <v>324</v>
      </c>
      <c r="D248" s="273" t="s">
        <v>1087</v>
      </c>
      <c r="E248" s="768">
        <v>203049349.38</v>
      </c>
      <c r="F248" s="768">
        <v>8656128.3100000005</v>
      </c>
      <c r="G248" s="768">
        <v>211705477.69</v>
      </c>
      <c r="H248" s="768">
        <v>55029628.649999999</v>
      </c>
      <c r="I248" s="768">
        <v>156675849.03999999</v>
      </c>
    </row>
    <row r="249" spans="2:9" x14ac:dyDescent="0.2">
      <c r="B249" s="274">
        <v>1</v>
      </c>
      <c r="C249" s="826" t="s">
        <v>325</v>
      </c>
      <c r="D249" s="273" t="s">
        <v>1088</v>
      </c>
      <c r="E249" s="768">
        <v>18945952716.299999</v>
      </c>
      <c r="F249" s="768">
        <v>-4674958166.04</v>
      </c>
      <c r="G249" s="768">
        <v>14270994550.26</v>
      </c>
      <c r="H249" s="768">
        <v>4096326058.6900001</v>
      </c>
      <c r="I249" s="768">
        <v>10174668491.57</v>
      </c>
    </row>
    <row r="250" spans="2:9" x14ac:dyDescent="0.2">
      <c r="B250" s="274">
        <v>1</v>
      </c>
      <c r="C250" s="826" t="s">
        <v>1327</v>
      </c>
      <c r="D250" s="273" t="s">
        <v>1089</v>
      </c>
      <c r="E250" s="768">
        <v>14554854082.950001</v>
      </c>
      <c r="F250" s="768">
        <v>-3304824446.0100002</v>
      </c>
      <c r="G250" s="768">
        <v>11250029636.940001</v>
      </c>
      <c r="H250" s="768">
        <v>3349441699.9499998</v>
      </c>
      <c r="I250" s="768">
        <v>7900587936.9899998</v>
      </c>
    </row>
    <row r="251" spans="2:9" x14ac:dyDescent="0.2">
      <c r="B251" s="274">
        <v>1</v>
      </c>
      <c r="C251" s="826" t="s">
        <v>1328</v>
      </c>
      <c r="D251" s="273" t="s">
        <v>1090</v>
      </c>
      <c r="E251" s="768">
        <v>1807534643.9100001</v>
      </c>
      <c r="F251" s="768">
        <v>-352398145.57999998</v>
      </c>
      <c r="G251" s="768">
        <v>1455136498.3299999</v>
      </c>
      <c r="H251" s="768">
        <v>530351824.19</v>
      </c>
      <c r="I251" s="768">
        <v>924784674.13999999</v>
      </c>
    </row>
    <row r="252" spans="2:9" x14ac:dyDescent="0.2">
      <c r="B252" s="274">
        <v>1</v>
      </c>
      <c r="C252" s="826" t="s">
        <v>1329</v>
      </c>
      <c r="D252" s="273" t="s">
        <v>1091</v>
      </c>
      <c r="E252" s="768">
        <v>23574415</v>
      </c>
      <c r="F252" s="768">
        <v>138760.9</v>
      </c>
      <c r="G252" s="768">
        <v>23713175.899999999</v>
      </c>
      <c r="H252" s="768">
        <v>413287.65</v>
      </c>
      <c r="I252" s="768">
        <v>23299888.25</v>
      </c>
    </row>
    <row r="253" spans="2:9" x14ac:dyDescent="0.2">
      <c r="B253" s="274">
        <v>1</v>
      </c>
      <c r="C253" s="826" t="s">
        <v>990</v>
      </c>
      <c r="D253" s="273" t="s">
        <v>758</v>
      </c>
      <c r="E253" s="768">
        <v>11787182</v>
      </c>
      <c r="F253" s="768">
        <v>500000</v>
      </c>
      <c r="G253" s="768">
        <v>12287182</v>
      </c>
      <c r="H253" s="768">
        <v>2343245.35</v>
      </c>
      <c r="I253" s="768">
        <v>9943936.6500000004</v>
      </c>
    </row>
    <row r="254" spans="2:9" x14ac:dyDescent="0.2">
      <c r="B254" s="274">
        <v>1</v>
      </c>
      <c r="C254" s="826" t="s">
        <v>991</v>
      </c>
      <c r="D254" s="273" t="s">
        <v>141</v>
      </c>
      <c r="E254" s="768">
        <v>1620621536.9100001</v>
      </c>
      <c r="F254" s="768">
        <v>-355215590.57999998</v>
      </c>
      <c r="G254" s="768">
        <v>1265405946.3299999</v>
      </c>
      <c r="H254" s="768">
        <v>495521762.63999999</v>
      </c>
      <c r="I254" s="768">
        <v>769884183.69000006</v>
      </c>
    </row>
    <row r="255" spans="2:9" x14ac:dyDescent="0.2">
      <c r="B255" s="274">
        <v>1</v>
      </c>
      <c r="C255" s="826" t="s">
        <v>1729</v>
      </c>
      <c r="D255" s="273" t="s">
        <v>1730</v>
      </c>
      <c r="E255" s="768">
        <v>151551510</v>
      </c>
      <c r="F255" s="768">
        <v>2178684.1</v>
      </c>
      <c r="G255" s="768">
        <v>153730194.09999999</v>
      </c>
      <c r="H255" s="768">
        <v>32073528.550000001</v>
      </c>
      <c r="I255" s="768">
        <v>121656665.55</v>
      </c>
    </row>
    <row r="256" spans="2:9" x14ac:dyDescent="0.2">
      <c r="B256" s="274">
        <v>1</v>
      </c>
      <c r="C256" s="826" t="s">
        <v>753</v>
      </c>
      <c r="D256" s="273" t="s">
        <v>759</v>
      </c>
      <c r="E256" s="768">
        <v>2583563989.4400001</v>
      </c>
      <c r="F256" s="768">
        <v>-1017735574.45</v>
      </c>
      <c r="G256" s="768">
        <v>1565828414.99</v>
      </c>
      <c r="H256" s="768">
        <v>216532534.55000001</v>
      </c>
      <c r="I256" s="768">
        <v>1349295880.4400001</v>
      </c>
    </row>
    <row r="257" spans="2:9" x14ac:dyDescent="0.2">
      <c r="B257" s="274">
        <v>1</v>
      </c>
      <c r="C257" s="826" t="s">
        <v>992</v>
      </c>
      <c r="D257" s="273" t="s">
        <v>760</v>
      </c>
      <c r="E257" s="768">
        <v>1146610523</v>
      </c>
      <c r="F257" s="768">
        <v>21951000</v>
      </c>
      <c r="G257" s="768">
        <v>1168561523</v>
      </c>
      <c r="H257" s="768">
        <v>216532534.55000001</v>
      </c>
      <c r="I257" s="768">
        <v>952028988.45000005</v>
      </c>
    </row>
    <row r="258" spans="2:9" x14ac:dyDescent="0.2">
      <c r="B258" s="274">
        <v>1</v>
      </c>
      <c r="C258" s="826" t="s">
        <v>993</v>
      </c>
      <c r="D258" s="273" t="s">
        <v>761</v>
      </c>
      <c r="E258" s="768">
        <v>1436953466.4400001</v>
      </c>
      <c r="F258" s="768">
        <v>-1039686574.45</v>
      </c>
      <c r="G258" s="768">
        <v>397266891.99000001</v>
      </c>
      <c r="H258" s="768">
        <v>0</v>
      </c>
      <c r="I258" s="768">
        <v>397266891.99000001</v>
      </c>
    </row>
    <row r="259" spans="2:9" x14ac:dyDescent="0.2">
      <c r="B259" s="274">
        <v>1</v>
      </c>
      <c r="C259" s="826" t="s">
        <v>219</v>
      </c>
      <c r="D259" s="273" t="s">
        <v>762</v>
      </c>
      <c r="E259" s="768">
        <v>290105774.10000002</v>
      </c>
      <c r="F259" s="768">
        <v>19204525.239999998</v>
      </c>
      <c r="G259" s="768">
        <v>309310299.33999997</v>
      </c>
      <c r="H259" s="768">
        <v>137244837.00999999</v>
      </c>
      <c r="I259" s="768">
        <v>172065462.33000001</v>
      </c>
    </row>
    <row r="260" spans="2:9" x14ac:dyDescent="0.2">
      <c r="B260" s="274">
        <v>1</v>
      </c>
      <c r="C260" s="826" t="s">
        <v>376</v>
      </c>
      <c r="D260" s="273" t="s">
        <v>763</v>
      </c>
      <c r="E260" s="768">
        <v>8219400</v>
      </c>
      <c r="F260" s="768">
        <v>0</v>
      </c>
      <c r="G260" s="768">
        <v>8219400</v>
      </c>
      <c r="H260" s="768">
        <v>666900.4</v>
      </c>
      <c r="I260" s="768">
        <v>7552499.5999999996</v>
      </c>
    </row>
    <row r="261" spans="2:9" x14ac:dyDescent="0.2">
      <c r="B261" s="274">
        <v>1</v>
      </c>
      <c r="C261" s="826" t="s">
        <v>1325</v>
      </c>
      <c r="D261" s="273" t="s">
        <v>764</v>
      </c>
      <c r="E261" s="768">
        <v>1685000000</v>
      </c>
      <c r="F261" s="768">
        <v>-390347597.47000003</v>
      </c>
      <c r="G261" s="768">
        <v>1294652402.53</v>
      </c>
      <c r="H261" s="768">
        <v>1018898733.85</v>
      </c>
      <c r="I261" s="768">
        <v>275753668.68000001</v>
      </c>
    </row>
    <row r="263" spans="2:9" s="771" customFormat="1" x14ac:dyDescent="0.2">
      <c r="B263" s="766">
        <v>1</v>
      </c>
      <c r="C263" s="824" t="s">
        <v>326</v>
      </c>
      <c r="D263" s="771" t="s">
        <v>765</v>
      </c>
      <c r="E263" s="825">
        <v>40134366860.860001</v>
      </c>
      <c r="F263" s="825">
        <v>-11251530959.17</v>
      </c>
      <c r="G263" s="825">
        <v>28882835901.689999</v>
      </c>
      <c r="H263" s="825">
        <v>13682213349.01</v>
      </c>
      <c r="I263" s="825">
        <v>15200622552.68</v>
      </c>
    </row>
    <row r="264" spans="2:9" x14ac:dyDescent="0.2">
      <c r="B264" s="274">
        <v>1</v>
      </c>
      <c r="C264" s="826" t="s">
        <v>327</v>
      </c>
      <c r="D264" s="273" t="s">
        <v>766</v>
      </c>
      <c r="E264" s="768">
        <v>12777113613.299999</v>
      </c>
      <c r="F264" s="768">
        <v>-3344191517.6599998</v>
      </c>
      <c r="G264" s="768">
        <v>9432922095.6399994</v>
      </c>
      <c r="H264" s="768">
        <v>4902903369.8800001</v>
      </c>
      <c r="I264" s="768">
        <v>4530018725.7600002</v>
      </c>
    </row>
    <row r="265" spans="2:9" x14ac:dyDescent="0.2">
      <c r="B265" s="274">
        <v>1</v>
      </c>
      <c r="C265" s="826" t="s">
        <v>843</v>
      </c>
      <c r="D265" s="273" t="s">
        <v>2364</v>
      </c>
      <c r="E265" s="768">
        <v>12526568248.360001</v>
      </c>
      <c r="F265" s="768">
        <v>-3353185401.3699999</v>
      </c>
      <c r="G265" s="768">
        <v>9173382846.9899998</v>
      </c>
      <c r="H265" s="768">
        <v>4815351128.0500002</v>
      </c>
      <c r="I265" s="768">
        <v>4358031718.9399996</v>
      </c>
    </row>
    <row r="266" spans="2:9" x14ac:dyDescent="0.2">
      <c r="B266" s="274">
        <v>1</v>
      </c>
      <c r="C266" s="826" t="s">
        <v>844</v>
      </c>
      <c r="D266" s="273" t="s">
        <v>2365</v>
      </c>
      <c r="E266" s="768">
        <v>4888348997.0699997</v>
      </c>
      <c r="F266" s="768">
        <v>415202436.42000002</v>
      </c>
      <c r="G266" s="768">
        <v>5303551433.4899998</v>
      </c>
      <c r="H266" s="768">
        <v>2984964925.6999998</v>
      </c>
      <c r="I266" s="768">
        <v>2318586507.79</v>
      </c>
    </row>
    <row r="267" spans="2:9" x14ac:dyDescent="0.2">
      <c r="B267" s="274">
        <v>1</v>
      </c>
      <c r="C267" s="826" t="s">
        <v>845</v>
      </c>
      <c r="D267" s="273" t="s">
        <v>2366</v>
      </c>
      <c r="E267" s="768">
        <v>706945464.66999996</v>
      </c>
      <c r="F267" s="768">
        <v>56554552.729999997</v>
      </c>
      <c r="G267" s="768">
        <v>763500017.39999998</v>
      </c>
      <c r="H267" s="768">
        <v>325150284.57999998</v>
      </c>
      <c r="I267" s="768">
        <v>438349732.81999999</v>
      </c>
    </row>
    <row r="268" spans="2:9" x14ac:dyDescent="0.2">
      <c r="B268" s="274">
        <v>1</v>
      </c>
      <c r="C268" s="826" t="s">
        <v>1133</v>
      </c>
      <c r="D268" s="273" t="s">
        <v>2367</v>
      </c>
      <c r="E268" s="768">
        <v>227903457.53999999</v>
      </c>
      <c r="F268" s="768">
        <v>13157180.279999999</v>
      </c>
      <c r="G268" s="768">
        <v>241060637.81999999</v>
      </c>
      <c r="H268" s="768">
        <v>119236055.7</v>
      </c>
      <c r="I268" s="768">
        <v>121824582.12</v>
      </c>
    </row>
    <row r="269" spans="2:9" x14ac:dyDescent="0.2">
      <c r="B269" s="274">
        <v>1</v>
      </c>
      <c r="C269" s="826" t="s">
        <v>1134</v>
      </c>
      <c r="D269" s="273" t="s">
        <v>2368</v>
      </c>
      <c r="E269" s="768">
        <v>3670352034.3000002</v>
      </c>
      <c r="F269" s="768">
        <v>-3070626114.1799998</v>
      </c>
      <c r="G269" s="768">
        <v>599725920.12</v>
      </c>
      <c r="H269" s="768">
        <v>342758409.55000001</v>
      </c>
      <c r="I269" s="768">
        <v>256967510.56999999</v>
      </c>
    </row>
    <row r="270" spans="2:9" x14ac:dyDescent="0.2">
      <c r="B270" s="274">
        <v>1</v>
      </c>
      <c r="C270" s="826" t="s">
        <v>1135</v>
      </c>
      <c r="D270" s="273" t="s">
        <v>2369</v>
      </c>
      <c r="E270" s="768">
        <v>2946525562.7800002</v>
      </c>
      <c r="F270" s="768">
        <v>-783660886.62</v>
      </c>
      <c r="G270" s="768">
        <v>2162864676.1599998</v>
      </c>
      <c r="H270" s="768">
        <v>995374003.91999996</v>
      </c>
      <c r="I270" s="768">
        <v>1167490672.24</v>
      </c>
    </row>
    <row r="271" spans="2:9" x14ac:dyDescent="0.2">
      <c r="B271" s="274">
        <v>1</v>
      </c>
      <c r="C271" s="826" t="s">
        <v>1136</v>
      </c>
      <c r="D271" s="273" t="s">
        <v>2370</v>
      </c>
      <c r="E271" s="768">
        <v>86492732</v>
      </c>
      <c r="F271" s="768">
        <v>16187430</v>
      </c>
      <c r="G271" s="768">
        <v>102680162</v>
      </c>
      <c r="H271" s="768">
        <v>47867448.600000001</v>
      </c>
      <c r="I271" s="768">
        <v>54812713.399999999</v>
      </c>
    </row>
    <row r="272" spans="2:9" x14ac:dyDescent="0.2">
      <c r="B272" s="274">
        <v>1</v>
      </c>
      <c r="C272" s="826" t="s">
        <v>1137</v>
      </c>
      <c r="D272" s="273" t="s">
        <v>1789</v>
      </c>
      <c r="E272" s="768">
        <v>250545364.94</v>
      </c>
      <c r="F272" s="768">
        <v>8993883.7100000009</v>
      </c>
      <c r="G272" s="768">
        <v>259539248.65000001</v>
      </c>
      <c r="H272" s="768">
        <v>87552241.829999998</v>
      </c>
      <c r="I272" s="768">
        <v>171987006.81999999</v>
      </c>
    </row>
    <row r="273" spans="2:9" x14ac:dyDescent="0.2">
      <c r="B273" s="274">
        <v>1</v>
      </c>
      <c r="C273" s="826" t="s">
        <v>1790</v>
      </c>
      <c r="D273" s="273" t="s">
        <v>1791</v>
      </c>
      <c r="E273" s="768">
        <v>7865310.3099999996</v>
      </c>
      <c r="F273" s="768">
        <v>176961.17</v>
      </c>
      <c r="G273" s="768">
        <v>8042271.4800000004</v>
      </c>
      <c r="H273" s="768">
        <v>0</v>
      </c>
      <c r="I273" s="768">
        <v>8042271.4800000004</v>
      </c>
    </row>
    <row r="274" spans="2:9" x14ac:dyDescent="0.2">
      <c r="B274" s="274">
        <v>1</v>
      </c>
      <c r="C274" s="826" t="s">
        <v>1138</v>
      </c>
      <c r="D274" s="273" t="s">
        <v>767</v>
      </c>
      <c r="E274" s="768">
        <v>242680054.63</v>
      </c>
      <c r="F274" s="768">
        <v>8816922.5399999991</v>
      </c>
      <c r="G274" s="768">
        <v>251496977.16999999</v>
      </c>
      <c r="H274" s="768">
        <v>87552241.829999998</v>
      </c>
      <c r="I274" s="768">
        <v>163944735.34</v>
      </c>
    </row>
    <row r="275" spans="2:9" x14ac:dyDescent="0.2">
      <c r="B275" s="274">
        <v>1</v>
      </c>
      <c r="C275" s="826" t="s">
        <v>594</v>
      </c>
      <c r="D275" s="273" t="s">
        <v>768</v>
      </c>
      <c r="E275" s="768">
        <v>8238631453.8000002</v>
      </c>
      <c r="F275" s="768">
        <v>-2686751154.9899998</v>
      </c>
      <c r="G275" s="768">
        <v>5551880298.8100004</v>
      </c>
      <c r="H275" s="768">
        <v>2583675625.9099998</v>
      </c>
      <c r="I275" s="768">
        <v>2968204672.9000001</v>
      </c>
    </row>
    <row r="276" spans="2:9" x14ac:dyDescent="0.2">
      <c r="B276" s="274">
        <v>1</v>
      </c>
      <c r="C276" s="826" t="s">
        <v>595</v>
      </c>
      <c r="D276" s="273" t="s">
        <v>769</v>
      </c>
      <c r="E276" s="768">
        <v>7902017057.0799999</v>
      </c>
      <c r="F276" s="768">
        <v>-2698356272.3000002</v>
      </c>
      <c r="G276" s="768">
        <v>5203660784.7799997</v>
      </c>
      <c r="H276" s="768">
        <v>2480456849.6100001</v>
      </c>
      <c r="I276" s="768">
        <v>2723203935.1700001</v>
      </c>
    </row>
    <row r="277" spans="2:9" x14ac:dyDescent="0.2">
      <c r="B277" s="274">
        <v>1</v>
      </c>
      <c r="C277" s="826" t="s">
        <v>596</v>
      </c>
      <c r="D277" s="273" t="s">
        <v>770</v>
      </c>
      <c r="E277" s="768">
        <v>2146892873.29</v>
      </c>
      <c r="F277" s="768">
        <v>153728845.59</v>
      </c>
      <c r="G277" s="768">
        <v>2300621718.8800001</v>
      </c>
      <c r="H277" s="768">
        <v>1033567974.77</v>
      </c>
      <c r="I277" s="768">
        <v>1267053744.1099999</v>
      </c>
    </row>
    <row r="278" spans="2:9" x14ac:dyDescent="0.2">
      <c r="B278" s="274">
        <v>1</v>
      </c>
      <c r="C278" s="826" t="s">
        <v>597</v>
      </c>
      <c r="D278" s="273" t="s">
        <v>771</v>
      </c>
      <c r="E278" s="768">
        <v>322458230.91000003</v>
      </c>
      <c r="F278" s="768">
        <v>23811444.190000001</v>
      </c>
      <c r="G278" s="768">
        <v>346269675.10000002</v>
      </c>
      <c r="H278" s="768">
        <v>191879060.65000001</v>
      </c>
      <c r="I278" s="768">
        <v>154390614.44999999</v>
      </c>
    </row>
    <row r="279" spans="2:9" x14ac:dyDescent="0.2">
      <c r="B279" s="274">
        <v>1</v>
      </c>
      <c r="C279" s="826" t="s">
        <v>598</v>
      </c>
      <c r="D279" s="273" t="s">
        <v>772</v>
      </c>
      <c r="E279" s="768">
        <v>168874565.44999999</v>
      </c>
      <c r="F279" s="768">
        <v>10227554.640000001</v>
      </c>
      <c r="G279" s="768">
        <v>179102120.09</v>
      </c>
      <c r="H279" s="768">
        <v>81804822.079999998</v>
      </c>
      <c r="I279" s="768">
        <v>97297298.010000005</v>
      </c>
    </row>
    <row r="280" spans="2:9" x14ac:dyDescent="0.2">
      <c r="B280" s="274">
        <v>1</v>
      </c>
      <c r="C280" s="826" t="s">
        <v>885</v>
      </c>
      <c r="D280" s="273" t="s">
        <v>773</v>
      </c>
      <c r="E280" s="768">
        <v>2882241808.1799998</v>
      </c>
      <c r="F280" s="768">
        <v>-2538494810.96</v>
      </c>
      <c r="G280" s="768">
        <v>343746997.22000003</v>
      </c>
      <c r="H280" s="768">
        <v>171301355.03</v>
      </c>
      <c r="I280" s="768">
        <v>172445642.19</v>
      </c>
    </row>
    <row r="281" spans="2:9" x14ac:dyDescent="0.2">
      <c r="B281" s="274">
        <v>1</v>
      </c>
      <c r="C281" s="826" t="s">
        <v>54</v>
      </c>
      <c r="D281" s="273" t="s">
        <v>774</v>
      </c>
      <c r="E281" s="768">
        <v>2381549579.25</v>
      </c>
      <c r="F281" s="768">
        <v>-347629305.75999999</v>
      </c>
      <c r="G281" s="768">
        <v>2033920273.49</v>
      </c>
      <c r="H281" s="768">
        <v>1001903637.08</v>
      </c>
      <c r="I281" s="768">
        <v>1032016636.41</v>
      </c>
    </row>
    <row r="282" spans="2:9" x14ac:dyDescent="0.2">
      <c r="B282" s="274">
        <v>1</v>
      </c>
      <c r="C282" s="826" t="s">
        <v>55</v>
      </c>
      <c r="D282" s="273" t="s">
        <v>775</v>
      </c>
      <c r="E282" s="768">
        <v>336614396.72000003</v>
      </c>
      <c r="F282" s="768">
        <v>11605117.310000001</v>
      </c>
      <c r="G282" s="768">
        <v>348219514.02999997</v>
      </c>
      <c r="H282" s="768">
        <v>103218776.3</v>
      </c>
      <c r="I282" s="768">
        <v>245000737.72999999</v>
      </c>
    </row>
    <row r="283" spans="2:9" x14ac:dyDescent="0.2">
      <c r="B283" s="274">
        <v>1</v>
      </c>
      <c r="C283" s="826" t="s">
        <v>56</v>
      </c>
      <c r="D283" s="273" t="s">
        <v>776</v>
      </c>
      <c r="E283" s="768">
        <v>173067165.27000001</v>
      </c>
      <c r="F283" s="768">
        <v>6896196.1500000004</v>
      </c>
      <c r="G283" s="768">
        <v>179963361.41999999</v>
      </c>
      <c r="H283" s="768">
        <v>43181150.799999997</v>
      </c>
      <c r="I283" s="768">
        <v>136782210.62</v>
      </c>
    </row>
    <row r="284" spans="2:9" x14ac:dyDescent="0.2">
      <c r="B284" s="274">
        <v>1</v>
      </c>
      <c r="C284" s="826" t="s">
        <v>57</v>
      </c>
      <c r="D284" s="273" t="s">
        <v>777</v>
      </c>
      <c r="E284" s="768">
        <v>39746787</v>
      </c>
      <c r="F284" s="768">
        <v>-201000</v>
      </c>
      <c r="G284" s="768">
        <v>39545787</v>
      </c>
      <c r="H284" s="768">
        <v>8764102.9000000004</v>
      </c>
      <c r="I284" s="768">
        <v>30781684.100000001</v>
      </c>
    </row>
    <row r="285" spans="2:9" x14ac:dyDescent="0.2">
      <c r="B285" s="274">
        <v>1</v>
      </c>
      <c r="C285" s="826" t="s">
        <v>1525</v>
      </c>
      <c r="D285" s="273" t="s">
        <v>1526</v>
      </c>
      <c r="E285" s="768">
        <v>123800444.45</v>
      </c>
      <c r="F285" s="768">
        <v>4909921.16</v>
      </c>
      <c r="G285" s="768">
        <v>128710365.61</v>
      </c>
      <c r="H285" s="768">
        <v>51273522.600000001</v>
      </c>
      <c r="I285" s="768">
        <v>77436843.010000005</v>
      </c>
    </row>
    <row r="286" spans="2:9" x14ac:dyDescent="0.2">
      <c r="B286" s="274">
        <v>1</v>
      </c>
      <c r="C286" s="826" t="s">
        <v>58</v>
      </c>
      <c r="D286" s="273" t="s">
        <v>778</v>
      </c>
      <c r="E286" s="768">
        <v>7736854780.2299995</v>
      </c>
      <c r="F286" s="768">
        <v>-2043126401.23</v>
      </c>
      <c r="G286" s="768">
        <v>5693728379</v>
      </c>
      <c r="H286" s="768">
        <v>2616737528.25</v>
      </c>
      <c r="I286" s="768">
        <v>3076990850.75</v>
      </c>
    </row>
    <row r="287" spans="2:9" x14ac:dyDescent="0.2">
      <c r="B287" s="274">
        <v>1</v>
      </c>
      <c r="C287" s="826" t="s">
        <v>59</v>
      </c>
      <c r="D287" s="273" t="s">
        <v>779</v>
      </c>
      <c r="E287" s="768">
        <v>7120339632.6899996</v>
      </c>
      <c r="F287" s="768">
        <v>-2066652630.28</v>
      </c>
      <c r="G287" s="768">
        <v>5053687002.4099998</v>
      </c>
      <c r="H287" s="768">
        <v>2283016384.3800001</v>
      </c>
      <c r="I287" s="768">
        <v>2770670618.0300002</v>
      </c>
    </row>
    <row r="288" spans="2:9" x14ac:dyDescent="0.2">
      <c r="B288" s="274">
        <v>1</v>
      </c>
      <c r="C288" s="826" t="s">
        <v>60</v>
      </c>
      <c r="D288" s="273" t="s">
        <v>780</v>
      </c>
      <c r="E288" s="768">
        <v>2606230300.9200001</v>
      </c>
      <c r="F288" s="768">
        <v>193269014.52000001</v>
      </c>
      <c r="G288" s="768">
        <v>2799499315.4400001</v>
      </c>
      <c r="H288" s="768">
        <v>1273159561.71</v>
      </c>
      <c r="I288" s="768">
        <v>1526339753.73</v>
      </c>
    </row>
    <row r="289" spans="2:9" x14ac:dyDescent="0.2">
      <c r="B289" s="274">
        <v>1</v>
      </c>
      <c r="C289" s="826" t="s">
        <v>61</v>
      </c>
      <c r="D289" s="273" t="s">
        <v>781</v>
      </c>
      <c r="E289" s="768">
        <v>225852702.43000001</v>
      </c>
      <c r="F289" s="768">
        <v>3851564.94</v>
      </c>
      <c r="G289" s="768">
        <v>229704267.37</v>
      </c>
      <c r="H289" s="768">
        <v>78283158.579999998</v>
      </c>
      <c r="I289" s="768">
        <v>151421108.78999999</v>
      </c>
    </row>
    <row r="290" spans="2:9" x14ac:dyDescent="0.2">
      <c r="B290" s="274">
        <v>1</v>
      </c>
      <c r="C290" s="826" t="s">
        <v>62</v>
      </c>
      <c r="D290" s="273" t="s">
        <v>782</v>
      </c>
      <c r="E290" s="768">
        <v>78664434.019999996</v>
      </c>
      <c r="F290" s="768">
        <v>306112.87</v>
      </c>
      <c r="G290" s="768">
        <v>78970546.890000001</v>
      </c>
      <c r="H290" s="768">
        <v>8569994.1300000008</v>
      </c>
      <c r="I290" s="768">
        <v>70400552.760000005</v>
      </c>
    </row>
    <row r="291" spans="2:9" x14ac:dyDescent="0.2">
      <c r="B291" s="274">
        <v>1</v>
      </c>
      <c r="C291" s="826" t="s">
        <v>63</v>
      </c>
      <c r="D291" s="273" t="s">
        <v>783</v>
      </c>
      <c r="E291" s="768">
        <v>2310914298.02</v>
      </c>
      <c r="F291" s="768">
        <v>-1942549093.21</v>
      </c>
      <c r="G291" s="768">
        <v>368365204.81</v>
      </c>
      <c r="H291" s="768">
        <v>198987277.87</v>
      </c>
      <c r="I291" s="768">
        <v>169377926.94</v>
      </c>
    </row>
    <row r="292" spans="2:9" x14ac:dyDescent="0.2">
      <c r="B292" s="274">
        <v>1</v>
      </c>
      <c r="C292" s="826" t="s">
        <v>64</v>
      </c>
      <c r="D292" s="273" t="s">
        <v>784</v>
      </c>
      <c r="E292" s="768">
        <v>1884273472.1900001</v>
      </c>
      <c r="F292" s="768">
        <v>-321530229.39999998</v>
      </c>
      <c r="G292" s="768">
        <v>1562743242.79</v>
      </c>
      <c r="H292" s="768">
        <v>716890256.88999999</v>
      </c>
      <c r="I292" s="768">
        <v>845852985.89999998</v>
      </c>
    </row>
    <row r="293" spans="2:9" x14ac:dyDescent="0.2">
      <c r="B293" s="274">
        <v>1</v>
      </c>
      <c r="C293" s="826" t="s">
        <v>1527</v>
      </c>
      <c r="D293" s="273" t="s">
        <v>1792</v>
      </c>
      <c r="E293" s="768">
        <v>14404425.109999999</v>
      </c>
      <c r="F293" s="768">
        <v>0</v>
      </c>
      <c r="G293" s="768">
        <v>14404425.109999999</v>
      </c>
      <c r="H293" s="768">
        <v>7126135.2000000002</v>
      </c>
      <c r="I293" s="768">
        <v>7278289.9100000001</v>
      </c>
    </row>
    <row r="294" spans="2:9" x14ac:dyDescent="0.2">
      <c r="B294" s="274">
        <v>1</v>
      </c>
      <c r="C294" s="826" t="s">
        <v>220</v>
      </c>
      <c r="D294" s="273" t="s">
        <v>785</v>
      </c>
      <c r="E294" s="768">
        <v>276065021.81999999</v>
      </c>
      <c r="F294" s="768">
        <v>3328212.83</v>
      </c>
      <c r="G294" s="768">
        <v>279393234.64999998</v>
      </c>
      <c r="H294" s="768">
        <v>95230427.819999993</v>
      </c>
      <c r="I294" s="768">
        <v>184162806.83000001</v>
      </c>
    </row>
    <row r="295" spans="2:9" x14ac:dyDescent="0.2">
      <c r="B295" s="274">
        <v>1</v>
      </c>
      <c r="C295" s="826" t="s">
        <v>221</v>
      </c>
      <c r="D295" s="273" t="s">
        <v>786</v>
      </c>
      <c r="E295" s="768">
        <v>276065021.81999999</v>
      </c>
      <c r="F295" s="768">
        <v>3328212.83</v>
      </c>
      <c r="G295" s="768">
        <v>279393234.64999998</v>
      </c>
      <c r="H295" s="768">
        <v>95230427.819999993</v>
      </c>
      <c r="I295" s="768">
        <v>184162806.83000001</v>
      </c>
    </row>
    <row r="296" spans="2:9" x14ac:dyDescent="0.2">
      <c r="B296" s="274">
        <v>1</v>
      </c>
      <c r="C296" s="826" t="s">
        <v>787</v>
      </c>
      <c r="D296" s="273" t="s">
        <v>788</v>
      </c>
      <c r="E296" s="768">
        <v>340450125.72000003</v>
      </c>
      <c r="F296" s="768">
        <v>20198016.219999999</v>
      </c>
      <c r="G296" s="768">
        <v>360648141.94</v>
      </c>
      <c r="H296" s="768">
        <v>238490716.05000001</v>
      </c>
      <c r="I296" s="768">
        <v>122157425.89</v>
      </c>
    </row>
    <row r="297" spans="2:9" x14ac:dyDescent="0.2">
      <c r="B297" s="274">
        <v>1</v>
      </c>
      <c r="C297" s="826" t="s">
        <v>142</v>
      </c>
      <c r="D297" s="273" t="s">
        <v>143</v>
      </c>
      <c r="E297" s="768">
        <v>72361705.459999993</v>
      </c>
      <c r="F297" s="768">
        <v>1628059.71</v>
      </c>
      <c r="G297" s="768">
        <v>73989765.170000002</v>
      </c>
      <c r="H297" s="768">
        <v>46437386.299999997</v>
      </c>
      <c r="I297" s="768">
        <v>27552378.870000001</v>
      </c>
    </row>
    <row r="298" spans="2:9" x14ac:dyDescent="0.2">
      <c r="B298" s="274">
        <v>1</v>
      </c>
      <c r="C298" s="826" t="s">
        <v>144</v>
      </c>
      <c r="D298" s="273" t="s">
        <v>145</v>
      </c>
      <c r="E298" s="768">
        <v>21834437.800000001</v>
      </c>
      <c r="F298" s="768">
        <v>491268.71</v>
      </c>
      <c r="G298" s="768">
        <v>22325706.510000002</v>
      </c>
      <c r="H298" s="768">
        <v>13368990.199999999</v>
      </c>
      <c r="I298" s="768">
        <v>8956716.3100000005</v>
      </c>
    </row>
    <row r="299" spans="2:9" x14ac:dyDescent="0.2">
      <c r="B299" s="274">
        <v>1</v>
      </c>
      <c r="C299" s="826" t="s">
        <v>146</v>
      </c>
      <c r="D299" s="273" t="s">
        <v>147</v>
      </c>
      <c r="E299" s="768">
        <v>72560341.659999996</v>
      </c>
      <c r="F299" s="768">
        <v>1632547.6</v>
      </c>
      <c r="G299" s="768">
        <v>74192889.260000005</v>
      </c>
      <c r="H299" s="768">
        <v>53131610.450000003</v>
      </c>
      <c r="I299" s="768">
        <v>21061278.809999999</v>
      </c>
    </row>
    <row r="300" spans="2:9" x14ac:dyDescent="0.2">
      <c r="B300" s="274">
        <v>1</v>
      </c>
      <c r="C300" s="826" t="s">
        <v>255</v>
      </c>
      <c r="D300" s="273" t="s">
        <v>256</v>
      </c>
      <c r="E300" s="768">
        <v>173693640.80000001</v>
      </c>
      <c r="F300" s="768">
        <v>16446140.199999999</v>
      </c>
      <c r="G300" s="768">
        <v>190139781</v>
      </c>
      <c r="H300" s="768">
        <v>125552729.09999999</v>
      </c>
      <c r="I300" s="768">
        <v>64587051.899999999</v>
      </c>
    </row>
    <row r="301" spans="2:9" x14ac:dyDescent="0.2">
      <c r="B301" s="274">
        <v>1</v>
      </c>
      <c r="C301" s="826" t="s">
        <v>732</v>
      </c>
      <c r="D301" s="273" t="s">
        <v>789</v>
      </c>
      <c r="E301" s="768">
        <v>5326380681.4200001</v>
      </c>
      <c r="F301" s="768">
        <v>-1290081646.6099999</v>
      </c>
      <c r="G301" s="768">
        <v>4036299034.8099999</v>
      </c>
      <c r="H301" s="768">
        <v>1454605494.6800001</v>
      </c>
      <c r="I301" s="768">
        <v>2581693540.1300001</v>
      </c>
    </row>
    <row r="302" spans="2:9" x14ac:dyDescent="0.2">
      <c r="B302" s="274">
        <v>1</v>
      </c>
      <c r="C302" s="826" t="s">
        <v>733</v>
      </c>
      <c r="D302" s="273" t="s">
        <v>790</v>
      </c>
      <c r="E302" s="768">
        <v>5326380681.4200001</v>
      </c>
      <c r="F302" s="768">
        <v>-1290081646.6099999</v>
      </c>
      <c r="G302" s="768">
        <v>4036299034.8099999</v>
      </c>
      <c r="H302" s="768">
        <v>1454605494.6800001</v>
      </c>
      <c r="I302" s="768">
        <v>2581693540.1300001</v>
      </c>
    </row>
    <row r="303" spans="2:9" x14ac:dyDescent="0.2">
      <c r="B303" s="274">
        <v>1</v>
      </c>
      <c r="C303" s="826" t="s">
        <v>734</v>
      </c>
      <c r="D303" s="273" t="s">
        <v>3048</v>
      </c>
      <c r="E303" s="768">
        <v>2000123451.3399999</v>
      </c>
      <c r="F303" s="768">
        <v>586439788.75</v>
      </c>
      <c r="G303" s="768">
        <v>2586563240.0900002</v>
      </c>
      <c r="H303" s="768">
        <v>848738290.08000004</v>
      </c>
      <c r="I303" s="768">
        <v>1737824950.01</v>
      </c>
    </row>
    <row r="304" spans="2:9" x14ac:dyDescent="0.2">
      <c r="B304" s="274">
        <v>1</v>
      </c>
      <c r="C304" s="826" t="s">
        <v>735</v>
      </c>
      <c r="D304" s="273" t="s">
        <v>3049</v>
      </c>
      <c r="E304" s="768">
        <v>93137387.680000007</v>
      </c>
      <c r="F304" s="768">
        <v>1252713.32</v>
      </c>
      <c r="G304" s="768">
        <v>94390101</v>
      </c>
      <c r="H304" s="768">
        <v>23757413.699999999</v>
      </c>
      <c r="I304" s="768">
        <v>70632687.299999997</v>
      </c>
    </row>
    <row r="305" spans="2:9" x14ac:dyDescent="0.2">
      <c r="B305" s="274">
        <v>1</v>
      </c>
      <c r="C305" s="826" t="s">
        <v>736</v>
      </c>
      <c r="D305" s="273" t="s">
        <v>3050</v>
      </c>
      <c r="E305" s="768">
        <v>57409399.740000002</v>
      </c>
      <c r="F305" s="768">
        <v>359144.11</v>
      </c>
      <c r="G305" s="768">
        <v>57768543.850000001</v>
      </c>
      <c r="H305" s="768">
        <v>22223205.719999999</v>
      </c>
      <c r="I305" s="768">
        <v>35545338.130000003</v>
      </c>
    </row>
    <row r="306" spans="2:9" x14ac:dyDescent="0.2">
      <c r="B306" s="274">
        <v>1</v>
      </c>
      <c r="C306" s="826" t="s">
        <v>737</v>
      </c>
      <c r="D306" s="273" t="s">
        <v>3051</v>
      </c>
      <c r="E306" s="768">
        <v>2012518388.1900001</v>
      </c>
      <c r="F306" s="768">
        <v>-1705814023.9300001</v>
      </c>
      <c r="G306" s="768">
        <v>306704364.25999999</v>
      </c>
      <c r="H306" s="768">
        <v>132358947.68000001</v>
      </c>
      <c r="I306" s="768">
        <v>174345416.58000001</v>
      </c>
    </row>
    <row r="307" spans="2:9" x14ac:dyDescent="0.2">
      <c r="B307" s="274">
        <v>1</v>
      </c>
      <c r="C307" s="826" t="s">
        <v>738</v>
      </c>
      <c r="D307" s="273" t="s">
        <v>3052</v>
      </c>
      <c r="E307" s="768">
        <v>1163192054.47</v>
      </c>
      <c r="F307" s="768">
        <v>-172319268.86000001</v>
      </c>
      <c r="G307" s="768">
        <v>990872785.61000001</v>
      </c>
      <c r="H307" s="768">
        <v>427527637.5</v>
      </c>
      <c r="I307" s="768">
        <v>563345148.11000001</v>
      </c>
    </row>
    <row r="308" spans="2:9" x14ac:dyDescent="0.2">
      <c r="B308" s="274">
        <v>1</v>
      </c>
      <c r="C308" s="826" t="s">
        <v>739</v>
      </c>
      <c r="D308" s="273" t="s">
        <v>791</v>
      </c>
      <c r="E308" s="768">
        <v>4755386332.1099997</v>
      </c>
      <c r="F308" s="768">
        <v>-1357646684.55</v>
      </c>
      <c r="G308" s="768">
        <v>3397739647.5599999</v>
      </c>
      <c r="H308" s="768">
        <v>1635488184.3800001</v>
      </c>
      <c r="I308" s="768">
        <v>1762251463.1800001</v>
      </c>
    </row>
    <row r="309" spans="2:9" x14ac:dyDescent="0.2">
      <c r="B309" s="274">
        <v>1</v>
      </c>
      <c r="C309" s="826" t="s">
        <v>740</v>
      </c>
      <c r="D309" s="273" t="s">
        <v>792</v>
      </c>
      <c r="E309" s="768">
        <v>4755386332.1099997</v>
      </c>
      <c r="F309" s="768">
        <v>-1357646684.55</v>
      </c>
      <c r="G309" s="768">
        <v>3397739647.5599999</v>
      </c>
      <c r="H309" s="768">
        <v>1635488184.3800001</v>
      </c>
      <c r="I309" s="768">
        <v>1762251463.1800001</v>
      </c>
    </row>
    <row r="310" spans="2:9" x14ac:dyDescent="0.2">
      <c r="B310" s="274">
        <v>1</v>
      </c>
      <c r="C310" s="826" t="s">
        <v>741</v>
      </c>
      <c r="D310" s="273" t="s">
        <v>1793</v>
      </c>
      <c r="E310" s="768">
        <v>1560162311.5599999</v>
      </c>
      <c r="F310" s="768">
        <v>129514784.86</v>
      </c>
      <c r="G310" s="768">
        <v>1689677096.4200001</v>
      </c>
      <c r="H310" s="768">
        <v>808828854.45000005</v>
      </c>
      <c r="I310" s="768">
        <v>880848241.97000003</v>
      </c>
    </row>
    <row r="311" spans="2:9" x14ac:dyDescent="0.2">
      <c r="B311" s="274">
        <v>1</v>
      </c>
      <c r="C311" s="826" t="s">
        <v>742</v>
      </c>
      <c r="D311" s="273" t="s">
        <v>793</v>
      </c>
      <c r="E311" s="768">
        <v>167884218.72999999</v>
      </c>
      <c r="F311" s="768">
        <v>23427377.469999999</v>
      </c>
      <c r="G311" s="768">
        <v>191311596.19999999</v>
      </c>
      <c r="H311" s="768">
        <v>79435340.150000006</v>
      </c>
      <c r="I311" s="768">
        <v>111876256.05</v>
      </c>
    </row>
    <row r="312" spans="2:9" x14ac:dyDescent="0.2">
      <c r="B312" s="274">
        <v>1</v>
      </c>
      <c r="C312" s="826" t="s">
        <v>743</v>
      </c>
      <c r="D312" s="273" t="s">
        <v>794</v>
      </c>
      <c r="E312" s="768">
        <v>161728404.47</v>
      </c>
      <c r="F312" s="768">
        <v>2812128.8</v>
      </c>
      <c r="G312" s="768">
        <v>164540533.27000001</v>
      </c>
      <c r="H312" s="768">
        <v>73649867.150000006</v>
      </c>
      <c r="I312" s="768">
        <v>90890666.120000005</v>
      </c>
    </row>
    <row r="313" spans="2:9" x14ac:dyDescent="0.2">
      <c r="B313" s="274">
        <v>1</v>
      </c>
      <c r="C313" s="826" t="s">
        <v>744</v>
      </c>
      <c r="D313" s="273" t="s">
        <v>795</v>
      </c>
      <c r="E313" s="768">
        <v>1590519848.5799999</v>
      </c>
      <c r="F313" s="768">
        <v>-1346788462.3499999</v>
      </c>
      <c r="G313" s="768">
        <v>243731386.22999999</v>
      </c>
      <c r="H313" s="768">
        <v>128584447</v>
      </c>
      <c r="I313" s="768">
        <v>115146939.23</v>
      </c>
    </row>
    <row r="314" spans="2:9" x14ac:dyDescent="0.2">
      <c r="B314" s="274">
        <v>1</v>
      </c>
      <c r="C314" s="826" t="s">
        <v>745</v>
      </c>
      <c r="D314" s="273" t="s">
        <v>796</v>
      </c>
      <c r="E314" s="768">
        <v>1131362759.6800001</v>
      </c>
      <c r="F314" s="768">
        <v>-149306119.09</v>
      </c>
      <c r="G314" s="768">
        <v>982056640.59000003</v>
      </c>
      <c r="H314" s="768">
        <v>496956343.77999997</v>
      </c>
      <c r="I314" s="768">
        <v>485100296.81</v>
      </c>
    </row>
    <row r="315" spans="2:9" x14ac:dyDescent="0.2">
      <c r="B315" s="274">
        <v>1</v>
      </c>
      <c r="C315" s="826" t="s">
        <v>746</v>
      </c>
      <c r="D315" s="273" t="s">
        <v>797</v>
      </c>
      <c r="E315" s="768">
        <v>143728789.09</v>
      </c>
      <c r="F315" s="768">
        <v>-17306394.239999998</v>
      </c>
      <c r="G315" s="768">
        <v>126422394.84999999</v>
      </c>
      <c r="H315" s="768">
        <v>48033331.850000001</v>
      </c>
      <c r="I315" s="768">
        <v>78389063</v>
      </c>
    </row>
    <row r="316" spans="2:9" x14ac:dyDescent="0.2">
      <c r="B316" s="274">
        <v>1</v>
      </c>
      <c r="C316" s="826" t="s">
        <v>1326</v>
      </c>
      <c r="D316" s="273" t="s">
        <v>798</v>
      </c>
      <c r="E316" s="768">
        <v>1300000000</v>
      </c>
      <c r="F316" s="768">
        <v>-529733554.13</v>
      </c>
      <c r="G316" s="768">
        <v>770266445.87</v>
      </c>
      <c r="H316" s="768">
        <v>488803145.91000003</v>
      </c>
      <c r="I316" s="768">
        <v>281463299.95999998</v>
      </c>
    </row>
    <row r="318" spans="2:9" x14ac:dyDescent="0.2">
      <c r="B318" s="766">
        <v>2</v>
      </c>
      <c r="C318" s="824"/>
      <c r="D318" s="771" t="s">
        <v>323</v>
      </c>
      <c r="E318" s="825">
        <v>5500000000</v>
      </c>
      <c r="F318" s="825">
        <v>0</v>
      </c>
      <c r="G318" s="825">
        <v>5500000000</v>
      </c>
      <c r="H318" s="825">
        <v>1213820864.72</v>
      </c>
      <c r="I318" s="825">
        <v>4286179135.2800002</v>
      </c>
    </row>
    <row r="319" spans="2:9" x14ac:dyDescent="0.2">
      <c r="B319" s="766"/>
      <c r="C319" s="824"/>
      <c r="D319" s="771"/>
      <c r="E319" s="825"/>
      <c r="F319" s="825"/>
      <c r="G319" s="825"/>
      <c r="H319" s="825"/>
      <c r="I319" s="825"/>
    </row>
    <row r="320" spans="2:9" s="771" customFormat="1" x14ac:dyDescent="0.2">
      <c r="B320" s="766">
        <v>2</v>
      </c>
      <c r="C320" s="824" t="s">
        <v>946</v>
      </c>
      <c r="D320" s="771" t="s">
        <v>557</v>
      </c>
      <c r="E320" s="825">
        <v>532000000</v>
      </c>
      <c r="F320" s="825">
        <v>-49250424.700000003</v>
      </c>
      <c r="G320" s="825">
        <v>482749575.30000001</v>
      </c>
      <c r="H320" s="825">
        <v>128991995.86</v>
      </c>
      <c r="I320" s="825">
        <v>353757579.44</v>
      </c>
    </row>
    <row r="321" spans="2:9" x14ac:dyDescent="0.2">
      <c r="B321" s="274">
        <v>2</v>
      </c>
      <c r="C321" s="826" t="s">
        <v>747</v>
      </c>
      <c r="D321" s="273" t="s">
        <v>803</v>
      </c>
      <c r="E321" s="768">
        <v>532000000</v>
      </c>
      <c r="F321" s="768">
        <v>-49250424.700000003</v>
      </c>
      <c r="G321" s="768">
        <v>482749575.30000001</v>
      </c>
      <c r="H321" s="768">
        <v>128991995.86</v>
      </c>
      <c r="I321" s="768">
        <v>353757579.44</v>
      </c>
    </row>
    <row r="322" spans="2:9" x14ac:dyDescent="0.2">
      <c r="B322" s="274">
        <v>2</v>
      </c>
      <c r="C322" s="826" t="s">
        <v>1528</v>
      </c>
      <c r="D322" s="273" t="s">
        <v>558</v>
      </c>
      <c r="E322" s="768">
        <v>0</v>
      </c>
      <c r="F322" s="768">
        <v>13000000</v>
      </c>
      <c r="G322" s="768">
        <v>13000000</v>
      </c>
      <c r="H322" s="768">
        <v>6847665.9500000002</v>
      </c>
      <c r="I322" s="768">
        <v>6152334.0499999998</v>
      </c>
    </row>
    <row r="323" spans="2:9" x14ac:dyDescent="0.2">
      <c r="B323" s="274">
        <v>2</v>
      </c>
      <c r="C323" s="826" t="s">
        <v>1602</v>
      </c>
      <c r="D323" s="273" t="s">
        <v>1603</v>
      </c>
      <c r="E323" s="768">
        <v>0</v>
      </c>
      <c r="F323" s="768">
        <v>13000000</v>
      </c>
      <c r="G323" s="768">
        <v>13000000</v>
      </c>
      <c r="H323" s="768">
        <v>6847665.9500000002</v>
      </c>
      <c r="I323" s="768">
        <v>6152334.0499999998</v>
      </c>
    </row>
    <row r="324" spans="2:9" x14ac:dyDescent="0.2">
      <c r="B324" s="274">
        <v>2</v>
      </c>
      <c r="C324" s="826" t="s">
        <v>222</v>
      </c>
      <c r="D324" s="273" t="s">
        <v>804</v>
      </c>
      <c r="E324" s="768">
        <v>0</v>
      </c>
      <c r="F324" s="768">
        <v>29481721.010000002</v>
      </c>
      <c r="G324" s="768">
        <v>29481721.010000002</v>
      </c>
      <c r="H324" s="768">
        <v>7158742.6799999997</v>
      </c>
      <c r="I324" s="768">
        <v>22322978.329999998</v>
      </c>
    </row>
    <row r="325" spans="2:9" x14ac:dyDescent="0.2">
      <c r="B325" s="274">
        <v>2</v>
      </c>
      <c r="C325" s="826" t="s">
        <v>3053</v>
      </c>
      <c r="D325" s="273" t="s">
        <v>3054</v>
      </c>
      <c r="E325" s="768">
        <v>0</v>
      </c>
      <c r="F325" s="768">
        <v>0</v>
      </c>
      <c r="G325" s="768">
        <v>0</v>
      </c>
      <c r="H325" s="768">
        <v>2007461.18</v>
      </c>
      <c r="I325" s="768">
        <v>-2007461.18</v>
      </c>
    </row>
    <row r="326" spans="2:9" x14ac:dyDescent="0.2">
      <c r="B326" s="274">
        <v>2</v>
      </c>
      <c r="C326" s="826" t="s">
        <v>1141</v>
      </c>
      <c r="D326" s="273" t="s">
        <v>1142</v>
      </c>
      <c r="E326" s="768">
        <v>0</v>
      </c>
      <c r="F326" s="768">
        <v>22408579.59</v>
      </c>
      <c r="G326" s="768">
        <v>22408579.59</v>
      </c>
      <c r="H326" s="768">
        <v>4947796.5</v>
      </c>
      <c r="I326" s="768">
        <v>17460783.09</v>
      </c>
    </row>
    <row r="327" spans="2:9" x14ac:dyDescent="0.2">
      <c r="B327" s="274">
        <v>2</v>
      </c>
      <c r="C327" s="826" t="s">
        <v>3611</v>
      </c>
      <c r="D327" s="273" t="s">
        <v>2696</v>
      </c>
      <c r="E327" s="768">
        <v>0</v>
      </c>
      <c r="F327" s="768">
        <v>7073141.4199999999</v>
      </c>
      <c r="G327" s="768">
        <v>7073141.4199999999</v>
      </c>
      <c r="H327" s="768">
        <v>203485</v>
      </c>
      <c r="I327" s="768">
        <v>6869656.4199999999</v>
      </c>
    </row>
    <row r="328" spans="2:9" x14ac:dyDescent="0.2">
      <c r="B328" s="274">
        <v>2</v>
      </c>
      <c r="C328" s="826" t="s">
        <v>1143</v>
      </c>
      <c r="D328" s="273" t="s">
        <v>805</v>
      </c>
      <c r="E328" s="768">
        <v>0</v>
      </c>
      <c r="F328" s="768">
        <v>22847493.5</v>
      </c>
      <c r="G328" s="768">
        <v>22847493.5</v>
      </c>
      <c r="H328" s="768">
        <v>247405</v>
      </c>
      <c r="I328" s="768">
        <v>22600088.5</v>
      </c>
    </row>
    <row r="329" spans="2:9" x14ac:dyDescent="0.2">
      <c r="B329" s="274">
        <v>2</v>
      </c>
      <c r="C329" s="826" t="s">
        <v>813</v>
      </c>
      <c r="D329" s="273" t="s">
        <v>814</v>
      </c>
      <c r="E329" s="768">
        <v>0</v>
      </c>
      <c r="F329" s="768">
        <v>22847493.5</v>
      </c>
      <c r="G329" s="768">
        <v>22847493.5</v>
      </c>
      <c r="H329" s="768">
        <v>95835</v>
      </c>
      <c r="I329" s="768">
        <v>22751658.5</v>
      </c>
    </row>
    <row r="330" spans="2:9" x14ac:dyDescent="0.2">
      <c r="B330" s="274">
        <v>2</v>
      </c>
      <c r="C330" s="826" t="s">
        <v>3612</v>
      </c>
      <c r="D330" s="273" t="s">
        <v>3613</v>
      </c>
      <c r="E330" s="768">
        <v>0</v>
      </c>
      <c r="F330" s="768">
        <v>0</v>
      </c>
      <c r="G330" s="768">
        <v>0</v>
      </c>
      <c r="H330" s="768">
        <v>151570</v>
      </c>
      <c r="I330" s="768">
        <v>-151570</v>
      </c>
    </row>
    <row r="331" spans="2:9" x14ac:dyDescent="0.2">
      <c r="B331" s="274">
        <v>2</v>
      </c>
      <c r="C331" s="826" t="s">
        <v>815</v>
      </c>
      <c r="D331" s="273" t="s">
        <v>580</v>
      </c>
      <c r="E331" s="768">
        <v>0</v>
      </c>
      <c r="F331" s="768">
        <v>3437038</v>
      </c>
      <c r="G331" s="768">
        <v>3437038</v>
      </c>
      <c r="H331" s="768">
        <v>543535</v>
      </c>
      <c r="I331" s="768">
        <v>2893503</v>
      </c>
    </row>
    <row r="332" spans="2:9" x14ac:dyDescent="0.2">
      <c r="B332" s="274">
        <v>2</v>
      </c>
      <c r="C332" s="826" t="s">
        <v>1794</v>
      </c>
      <c r="D332" s="273" t="s">
        <v>2371</v>
      </c>
      <c r="E332" s="768">
        <v>0</v>
      </c>
      <c r="F332" s="768">
        <v>3437038</v>
      </c>
      <c r="G332" s="768">
        <v>3437038</v>
      </c>
      <c r="H332" s="768">
        <v>543535</v>
      </c>
      <c r="I332" s="768">
        <v>2893503</v>
      </c>
    </row>
    <row r="333" spans="2:9" x14ac:dyDescent="0.2">
      <c r="B333" s="274">
        <v>2</v>
      </c>
      <c r="C333" s="826" t="s">
        <v>1349</v>
      </c>
      <c r="D333" s="273" t="s">
        <v>806</v>
      </c>
      <c r="E333" s="768">
        <v>0</v>
      </c>
      <c r="F333" s="768">
        <v>529685086.23000002</v>
      </c>
      <c r="G333" s="768">
        <v>529685086.23000002</v>
      </c>
      <c r="H333" s="768">
        <v>114123955.23</v>
      </c>
      <c r="I333" s="768">
        <v>415561131</v>
      </c>
    </row>
    <row r="334" spans="2:9" x14ac:dyDescent="0.2">
      <c r="B334" s="274">
        <v>2</v>
      </c>
      <c r="C334" s="826" t="s">
        <v>1350</v>
      </c>
      <c r="D334" s="273" t="s">
        <v>1351</v>
      </c>
      <c r="E334" s="768">
        <v>0</v>
      </c>
      <c r="F334" s="768">
        <v>377994282.89999998</v>
      </c>
      <c r="G334" s="768">
        <v>377994282.89999998</v>
      </c>
      <c r="H334" s="768">
        <v>103071058.23</v>
      </c>
      <c r="I334" s="768">
        <v>274923224.67000002</v>
      </c>
    </row>
    <row r="335" spans="2:9" x14ac:dyDescent="0.2">
      <c r="B335" s="274">
        <v>2</v>
      </c>
      <c r="C335" s="826" t="s">
        <v>1731</v>
      </c>
      <c r="D335" s="273" t="s">
        <v>1732</v>
      </c>
      <c r="E335" s="768">
        <v>0</v>
      </c>
      <c r="F335" s="768">
        <v>12606308.880000001</v>
      </c>
      <c r="G335" s="768">
        <v>12606308.880000001</v>
      </c>
      <c r="H335" s="768">
        <v>1126240</v>
      </c>
      <c r="I335" s="768">
        <v>11480068.880000001</v>
      </c>
    </row>
    <row r="336" spans="2:9" x14ac:dyDescent="0.2">
      <c r="B336" s="274">
        <v>2</v>
      </c>
      <c r="C336" s="826" t="s">
        <v>1352</v>
      </c>
      <c r="D336" s="273" t="s">
        <v>1353</v>
      </c>
      <c r="E336" s="768">
        <v>0</v>
      </c>
      <c r="F336" s="768">
        <v>4446848.6500000004</v>
      </c>
      <c r="G336" s="768">
        <v>4446848.6500000004</v>
      </c>
      <c r="H336" s="768">
        <v>2062552</v>
      </c>
      <c r="I336" s="768">
        <v>2384296.65</v>
      </c>
    </row>
    <row r="337" spans="2:9" x14ac:dyDescent="0.2">
      <c r="B337" s="274">
        <v>2</v>
      </c>
      <c r="C337" s="826" t="s">
        <v>1673</v>
      </c>
      <c r="D337" s="273" t="s">
        <v>1674</v>
      </c>
      <c r="E337" s="768">
        <v>0</v>
      </c>
      <c r="F337" s="768">
        <v>0</v>
      </c>
      <c r="G337" s="768">
        <v>0</v>
      </c>
      <c r="H337" s="768">
        <v>7260.83</v>
      </c>
      <c r="I337" s="768">
        <v>-7260.83</v>
      </c>
    </row>
    <row r="338" spans="2:9" x14ac:dyDescent="0.2">
      <c r="B338" s="274">
        <v>2</v>
      </c>
      <c r="C338" s="826" t="s">
        <v>1354</v>
      </c>
      <c r="D338" s="273" t="s">
        <v>1355</v>
      </c>
      <c r="E338" s="768">
        <v>0</v>
      </c>
      <c r="F338" s="768">
        <v>16476088.050000001</v>
      </c>
      <c r="G338" s="768">
        <v>16476088.050000001</v>
      </c>
      <c r="H338" s="768">
        <v>812425</v>
      </c>
      <c r="I338" s="768">
        <v>15663663.050000001</v>
      </c>
    </row>
    <row r="339" spans="2:9" x14ac:dyDescent="0.2">
      <c r="B339" s="274">
        <v>2</v>
      </c>
      <c r="C339" s="826" t="s">
        <v>113</v>
      </c>
      <c r="D339" s="273" t="s">
        <v>257</v>
      </c>
      <c r="E339" s="768">
        <v>0</v>
      </c>
      <c r="F339" s="768">
        <v>118161557.75</v>
      </c>
      <c r="G339" s="768">
        <v>118161557.75</v>
      </c>
      <c r="H339" s="768">
        <v>7044419.1699999999</v>
      </c>
      <c r="I339" s="768">
        <v>111117138.58</v>
      </c>
    </row>
    <row r="340" spans="2:9" x14ac:dyDescent="0.2">
      <c r="B340" s="274">
        <v>2</v>
      </c>
      <c r="C340" s="826" t="s">
        <v>1675</v>
      </c>
      <c r="D340" s="273" t="s">
        <v>807</v>
      </c>
      <c r="E340" s="768">
        <v>0</v>
      </c>
      <c r="F340" s="768">
        <v>70692.98</v>
      </c>
      <c r="G340" s="768">
        <v>70692.98</v>
      </c>
      <c r="H340" s="768">
        <v>70692</v>
      </c>
      <c r="I340" s="768">
        <v>0.98</v>
      </c>
    </row>
    <row r="341" spans="2:9" x14ac:dyDescent="0.2">
      <c r="B341" s="274">
        <v>2</v>
      </c>
      <c r="C341" s="826" t="s">
        <v>1676</v>
      </c>
      <c r="D341" s="273" t="s">
        <v>1356</v>
      </c>
      <c r="E341" s="768">
        <v>0</v>
      </c>
      <c r="F341" s="768">
        <v>70692.98</v>
      </c>
      <c r="G341" s="768">
        <v>70692.98</v>
      </c>
      <c r="H341" s="768">
        <v>70692</v>
      </c>
      <c r="I341" s="768">
        <v>0.98</v>
      </c>
    </row>
    <row r="342" spans="2:9" x14ac:dyDescent="0.2">
      <c r="B342" s="274">
        <v>2</v>
      </c>
      <c r="C342" s="826" t="s">
        <v>78</v>
      </c>
      <c r="D342" s="273" t="s">
        <v>808</v>
      </c>
      <c r="E342" s="768">
        <v>532000000</v>
      </c>
      <c r="F342" s="768">
        <v>-647772456.41999996</v>
      </c>
      <c r="G342" s="768">
        <v>-115772456.42</v>
      </c>
      <c r="H342" s="768">
        <v>0</v>
      </c>
      <c r="I342" s="768">
        <v>-115772456.42</v>
      </c>
    </row>
    <row r="344" spans="2:9" s="771" customFormat="1" x14ac:dyDescent="0.2">
      <c r="B344" s="766">
        <v>2</v>
      </c>
      <c r="C344" s="824" t="s">
        <v>404</v>
      </c>
      <c r="D344" s="771" t="s">
        <v>1262</v>
      </c>
      <c r="E344" s="825">
        <v>2854000000</v>
      </c>
      <c r="F344" s="825">
        <v>41146360.909999996</v>
      </c>
      <c r="G344" s="825">
        <v>2895146360.9099998</v>
      </c>
      <c r="H344" s="825">
        <v>760379240.38999999</v>
      </c>
      <c r="I344" s="825">
        <v>2134767120.52</v>
      </c>
    </row>
    <row r="345" spans="2:9" x14ac:dyDescent="0.2">
      <c r="B345" s="274">
        <v>2</v>
      </c>
      <c r="C345" s="826" t="s">
        <v>748</v>
      </c>
      <c r="D345" s="273" t="s">
        <v>809</v>
      </c>
      <c r="E345" s="768">
        <v>2854000000</v>
      </c>
      <c r="F345" s="768">
        <v>41146360.909999996</v>
      </c>
      <c r="G345" s="768">
        <v>2895146360.9099998</v>
      </c>
      <c r="H345" s="768">
        <v>760379240.38999999</v>
      </c>
      <c r="I345" s="768">
        <v>2134767120.52</v>
      </c>
    </row>
    <row r="346" spans="2:9" x14ac:dyDescent="0.2">
      <c r="B346" s="274">
        <v>2</v>
      </c>
      <c r="C346" s="826" t="s">
        <v>79</v>
      </c>
      <c r="D346" s="273" t="s">
        <v>1263</v>
      </c>
      <c r="E346" s="768">
        <v>0</v>
      </c>
      <c r="F346" s="768">
        <v>748293743.52999997</v>
      </c>
      <c r="G346" s="768">
        <v>748293743.52999997</v>
      </c>
      <c r="H346" s="768">
        <v>132513330.98</v>
      </c>
      <c r="I346" s="768">
        <v>615780412.54999995</v>
      </c>
    </row>
    <row r="347" spans="2:9" x14ac:dyDescent="0.2">
      <c r="B347" s="274">
        <v>2</v>
      </c>
      <c r="C347" s="826" t="s">
        <v>80</v>
      </c>
      <c r="D347" s="273" t="s">
        <v>810</v>
      </c>
      <c r="E347" s="768">
        <v>0</v>
      </c>
      <c r="F347" s="768">
        <v>13915499.9</v>
      </c>
      <c r="G347" s="768">
        <v>13915499.9</v>
      </c>
      <c r="H347" s="768">
        <v>3715320.89</v>
      </c>
      <c r="I347" s="768">
        <v>10200179.01</v>
      </c>
    </row>
    <row r="348" spans="2:9" x14ac:dyDescent="0.2">
      <c r="B348" s="274">
        <v>2</v>
      </c>
      <c r="C348" s="826" t="s">
        <v>1465</v>
      </c>
      <c r="D348" s="273" t="s">
        <v>811</v>
      </c>
      <c r="E348" s="768">
        <v>0</v>
      </c>
      <c r="F348" s="768">
        <v>381351542.45999998</v>
      </c>
      <c r="G348" s="768">
        <v>381351542.45999998</v>
      </c>
      <c r="H348" s="768">
        <v>58706012.530000001</v>
      </c>
      <c r="I348" s="768">
        <v>322645529.93000001</v>
      </c>
    </row>
    <row r="349" spans="2:9" x14ac:dyDescent="0.2">
      <c r="B349" s="274">
        <v>2</v>
      </c>
      <c r="C349" s="826" t="s">
        <v>1466</v>
      </c>
      <c r="D349" s="273" t="s">
        <v>1467</v>
      </c>
      <c r="E349" s="768">
        <v>0</v>
      </c>
      <c r="F349" s="768">
        <v>23870803.899999999</v>
      </c>
      <c r="G349" s="768">
        <v>23870803.899999999</v>
      </c>
      <c r="H349" s="768">
        <v>6135149.2999999998</v>
      </c>
      <c r="I349" s="768">
        <v>17735654.600000001</v>
      </c>
    </row>
    <row r="350" spans="2:9" x14ac:dyDescent="0.2">
      <c r="B350" s="274">
        <v>2</v>
      </c>
      <c r="C350" s="826" t="s">
        <v>1468</v>
      </c>
      <c r="D350" s="273" t="s">
        <v>1469</v>
      </c>
      <c r="E350" s="768">
        <v>0</v>
      </c>
      <c r="F350" s="768">
        <v>1175633.6100000001</v>
      </c>
      <c r="G350" s="768">
        <v>1175633.6100000001</v>
      </c>
      <c r="H350" s="768">
        <v>203032.9</v>
      </c>
      <c r="I350" s="768">
        <v>972600.71</v>
      </c>
    </row>
    <row r="351" spans="2:9" x14ac:dyDescent="0.2">
      <c r="B351" s="274">
        <v>2</v>
      </c>
      <c r="C351" s="826" t="s">
        <v>1470</v>
      </c>
      <c r="D351" s="273" t="s">
        <v>148</v>
      </c>
      <c r="E351" s="768">
        <v>0</v>
      </c>
      <c r="F351" s="768">
        <v>37208588.090000004</v>
      </c>
      <c r="G351" s="768">
        <v>37208588.090000004</v>
      </c>
      <c r="H351" s="768">
        <v>2250899.7000000002</v>
      </c>
      <c r="I351" s="768">
        <v>34957688.390000001</v>
      </c>
    </row>
    <row r="352" spans="2:9" x14ac:dyDescent="0.2">
      <c r="B352" s="274">
        <v>2</v>
      </c>
      <c r="C352" s="826" t="s">
        <v>1471</v>
      </c>
      <c r="D352" s="273" t="s">
        <v>812</v>
      </c>
      <c r="E352" s="768">
        <v>0</v>
      </c>
      <c r="F352" s="768">
        <v>143138928.99000001</v>
      </c>
      <c r="G352" s="768">
        <v>143138928.99000001</v>
      </c>
      <c r="H352" s="768">
        <v>10565902.300000001</v>
      </c>
      <c r="I352" s="768">
        <v>132573026.69</v>
      </c>
    </row>
    <row r="353" spans="2:9" x14ac:dyDescent="0.2">
      <c r="B353" s="274">
        <v>2</v>
      </c>
      <c r="C353" s="826" t="s">
        <v>1472</v>
      </c>
      <c r="D353" s="273" t="s">
        <v>902</v>
      </c>
      <c r="E353" s="768">
        <v>0</v>
      </c>
      <c r="F353" s="768">
        <v>10304923.539999999</v>
      </c>
      <c r="G353" s="768">
        <v>10304923.539999999</v>
      </c>
      <c r="H353" s="768">
        <v>62096.05</v>
      </c>
      <c r="I353" s="768">
        <v>10242827.49</v>
      </c>
    </row>
    <row r="354" spans="2:9" x14ac:dyDescent="0.2">
      <c r="B354" s="274">
        <v>2</v>
      </c>
      <c r="C354" s="826" t="s">
        <v>903</v>
      </c>
      <c r="D354" s="273" t="s">
        <v>904</v>
      </c>
      <c r="E354" s="768">
        <v>0</v>
      </c>
      <c r="F354" s="768">
        <v>13906048.98</v>
      </c>
      <c r="G354" s="768">
        <v>13906048.98</v>
      </c>
      <c r="H354" s="768">
        <v>4683243.22</v>
      </c>
      <c r="I354" s="768">
        <v>9222805.7599999998</v>
      </c>
    </row>
    <row r="355" spans="2:9" x14ac:dyDescent="0.2">
      <c r="B355" s="274">
        <v>2</v>
      </c>
      <c r="C355" s="826" t="s">
        <v>905</v>
      </c>
      <c r="D355" s="273" t="s">
        <v>906</v>
      </c>
      <c r="E355" s="768">
        <v>0</v>
      </c>
      <c r="F355" s="768">
        <v>8000000</v>
      </c>
      <c r="G355" s="768">
        <v>8000000</v>
      </c>
      <c r="H355" s="768">
        <v>569010.96</v>
      </c>
      <c r="I355" s="768">
        <v>7430989.04</v>
      </c>
    </row>
    <row r="356" spans="2:9" x14ac:dyDescent="0.2">
      <c r="B356" s="274">
        <v>2</v>
      </c>
      <c r="C356" s="826" t="s">
        <v>907</v>
      </c>
      <c r="D356" s="273" t="s">
        <v>908</v>
      </c>
      <c r="E356" s="768">
        <v>0</v>
      </c>
      <c r="F356" s="768">
        <v>0</v>
      </c>
      <c r="G356" s="768">
        <v>0</v>
      </c>
      <c r="H356" s="768">
        <v>182889.25</v>
      </c>
      <c r="I356" s="768">
        <v>-182889.25</v>
      </c>
    </row>
    <row r="357" spans="2:9" x14ac:dyDescent="0.2">
      <c r="B357" s="274">
        <v>2</v>
      </c>
      <c r="C357" s="826" t="s">
        <v>909</v>
      </c>
      <c r="D357" s="273" t="s">
        <v>910</v>
      </c>
      <c r="E357" s="768">
        <v>0</v>
      </c>
      <c r="F357" s="768">
        <v>13852515.109999999</v>
      </c>
      <c r="G357" s="768">
        <v>13852515.109999999</v>
      </c>
      <c r="H357" s="768">
        <v>3347034.2</v>
      </c>
      <c r="I357" s="768">
        <v>10505480.91</v>
      </c>
    </row>
    <row r="358" spans="2:9" x14ac:dyDescent="0.2">
      <c r="B358" s="274">
        <v>2</v>
      </c>
      <c r="C358" s="826" t="s">
        <v>1604</v>
      </c>
      <c r="D358" s="273" t="s">
        <v>1248</v>
      </c>
      <c r="E358" s="768">
        <v>0</v>
      </c>
      <c r="F358" s="768">
        <v>0</v>
      </c>
      <c r="G358" s="768">
        <v>0</v>
      </c>
      <c r="H358" s="768">
        <v>400</v>
      </c>
      <c r="I358" s="768">
        <v>-400</v>
      </c>
    </row>
    <row r="359" spans="2:9" x14ac:dyDescent="0.2">
      <c r="B359" s="274">
        <v>2</v>
      </c>
      <c r="C359" s="826" t="s">
        <v>525</v>
      </c>
      <c r="D359" s="273" t="s">
        <v>106</v>
      </c>
      <c r="E359" s="768">
        <v>0</v>
      </c>
      <c r="F359" s="768">
        <v>56458715.200000003</v>
      </c>
      <c r="G359" s="768">
        <v>56458715.200000003</v>
      </c>
      <c r="H359" s="768">
        <v>12904049.609999999</v>
      </c>
      <c r="I359" s="768">
        <v>43554665.590000004</v>
      </c>
    </row>
    <row r="360" spans="2:9" x14ac:dyDescent="0.2">
      <c r="B360" s="274">
        <v>2</v>
      </c>
      <c r="C360" s="826" t="s">
        <v>149</v>
      </c>
      <c r="D360" s="273" t="s">
        <v>150</v>
      </c>
      <c r="E360" s="768">
        <v>0</v>
      </c>
      <c r="F360" s="768">
        <v>45110543.75</v>
      </c>
      <c r="G360" s="768">
        <v>45110543.75</v>
      </c>
      <c r="H360" s="768">
        <v>29188290.07</v>
      </c>
      <c r="I360" s="768">
        <v>15922253.68</v>
      </c>
    </row>
    <row r="361" spans="2:9" x14ac:dyDescent="0.2">
      <c r="B361" s="274">
        <v>2</v>
      </c>
      <c r="C361" s="826" t="s">
        <v>1605</v>
      </c>
      <c r="D361" s="273" t="s">
        <v>1606</v>
      </c>
      <c r="E361" s="768">
        <v>0</v>
      </c>
      <c r="F361" s="768">
        <v>0</v>
      </c>
      <c r="G361" s="768">
        <v>0</v>
      </c>
      <c r="H361" s="768">
        <v>0</v>
      </c>
      <c r="I361" s="768">
        <v>0</v>
      </c>
    </row>
    <row r="362" spans="2:9" x14ac:dyDescent="0.2">
      <c r="B362" s="274">
        <v>2</v>
      </c>
      <c r="C362" s="826" t="s">
        <v>911</v>
      </c>
      <c r="D362" s="273" t="s">
        <v>1275</v>
      </c>
      <c r="E362" s="768">
        <v>0</v>
      </c>
      <c r="F362" s="768">
        <v>1837676552.25</v>
      </c>
      <c r="G362" s="768">
        <v>1837676552.25</v>
      </c>
      <c r="H362" s="768">
        <v>627865909.40999997</v>
      </c>
      <c r="I362" s="768">
        <v>1209810642.8399999</v>
      </c>
    </row>
    <row r="363" spans="2:9" x14ac:dyDescent="0.2">
      <c r="B363" s="274">
        <v>2</v>
      </c>
      <c r="C363" s="826" t="s">
        <v>526</v>
      </c>
      <c r="D363" s="273" t="s">
        <v>1413</v>
      </c>
      <c r="E363" s="768">
        <v>0</v>
      </c>
      <c r="F363" s="768">
        <v>43918000</v>
      </c>
      <c r="G363" s="768">
        <v>43918000</v>
      </c>
      <c r="H363" s="768">
        <v>13841351.76</v>
      </c>
      <c r="I363" s="768">
        <v>30076648.239999998</v>
      </c>
    </row>
    <row r="364" spans="2:9" x14ac:dyDescent="0.2">
      <c r="B364" s="274">
        <v>2</v>
      </c>
      <c r="C364" s="826" t="s">
        <v>912</v>
      </c>
      <c r="D364" s="273" t="s">
        <v>1414</v>
      </c>
      <c r="E364" s="768">
        <v>0</v>
      </c>
      <c r="F364" s="768">
        <v>21540068.25</v>
      </c>
      <c r="G364" s="768">
        <v>21540068.25</v>
      </c>
      <c r="H364" s="768">
        <v>4965708.95</v>
      </c>
      <c r="I364" s="768">
        <v>16574359.300000001</v>
      </c>
    </row>
    <row r="365" spans="2:9" x14ac:dyDescent="0.2">
      <c r="B365" s="274">
        <v>2</v>
      </c>
      <c r="C365" s="826" t="s">
        <v>3055</v>
      </c>
      <c r="D365" s="273" t="s">
        <v>3056</v>
      </c>
      <c r="E365" s="768">
        <v>0</v>
      </c>
      <c r="F365" s="768">
        <v>19711463</v>
      </c>
      <c r="G365" s="768">
        <v>19711463</v>
      </c>
      <c r="H365" s="768">
        <v>6836350.8499999996</v>
      </c>
      <c r="I365" s="768">
        <v>12875112.15</v>
      </c>
    </row>
    <row r="366" spans="2:9" x14ac:dyDescent="0.2">
      <c r="B366" s="274">
        <v>2</v>
      </c>
      <c r="C366" s="826" t="s">
        <v>913</v>
      </c>
      <c r="D366" s="273" t="s">
        <v>1415</v>
      </c>
      <c r="E366" s="768">
        <v>0</v>
      </c>
      <c r="F366" s="768">
        <v>309641827.97000003</v>
      </c>
      <c r="G366" s="768">
        <v>309641827.97000003</v>
      </c>
      <c r="H366" s="768">
        <v>205381731.37</v>
      </c>
      <c r="I366" s="768">
        <v>104260096.59999999</v>
      </c>
    </row>
    <row r="367" spans="2:9" x14ac:dyDescent="0.2">
      <c r="B367" s="274">
        <v>2</v>
      </c>
      <c r="C367" s="826" t="s">
        <v>333</v>
      </c>
      <c r="D367" s="273" t="s">
        <v>1416</v>
      </c>
      <c r="E367" s="768">
        <v>0</v>
      </c>
      <c r="F367" s="768">
        <v>837458561.70000005</v>
      </c>
      <c r="G367" s="768">
        <v>837458561.70000005</v>
      </c>
      <c r="H367" s="768">
        <v>222977223.94999999</v>
      </c>
      <c r="I367" s="768">
        <v>614481337.75</v>
      </c>
    </row>
    <row r="368" spans="2:9" x14ac:dyDescent="0.2">
      <c r="B368" s="274">
        <v>2</v>
      </c>
      <c r="C368" s="826" t="s">
        <v>334</v>
      </c>
      <c r="D368" s="273" t="s">
        <v>1417</v>
      </c>
      <c r="E368" s="768">
        <v>0</v>
      </c>
      <c r="F368" s="768">
        <v>11127000</v>
      </c>
      <c r="G368" s="768">
        <v>11127000</v>
      </c>
      <c r="H368" s="768">
        <v>888940</v>
      </c>
      <c r="I368" s="768">
        <v>10238060</v>
      </c>
    </row>
    <row r="369" spans="2:9" x14ac:dyDescent="0.2">
      <c r="B369" s="274">
        <v>2</v>
      </c>
      <c r="C369" s="826" t="s">
        <v>1098</v>
      </c>
      <c r="D369" s="273" t="s">
        <v>2697</v>
      </c>
      <c r="E369" s="768">
        <v>0</v>
      </c>
      <c r="F369" s="768">
        <v>8252095.4000000004</v>
      </c>
      <c r="G369" s="768">
        <v>8252095.4000000004</v>
      </c>
      <c r="H369" s="768">
        <v>12418</v>
      </c>
      <c r="I369" s="768">
        <v>8239677.4000000004</v>
      </c>
    </row>
    <row r="370" spans="2:9" x14ac:dyDescent="0.2">
      <c r="B370" s="274">
        <v>2</v>
      </c>
      <c r="C370" s="826" t="s">
        <v>613</v>
      </c>
      <c r="D370" s="273" t="s">
        <v>1249</v>
      </c>
      <c r="E370" s="768">
        <v>0</v>
      </c>
      <c r="F370" s="768">
        <v>70134350.799999997</v>
      </c>
      <c r="G370" s="768">
        <v>70134350.799999997</v>
      </c>
      <c r="H370" s="768">
        <v>8305745.7300000004</v>
      </c>
      <c r="I370" s="768">
        <v>61828605.07</v>
      </c>
    </row>
    <row r="371" spans="2:9" x14ac:dyDescent="0.2">
      <c r="B371" s="274">
        <v>2</v>
      </c>
      <c r="C371" s="826" t="s">
        <v>1529</v>
      </c>
      <c r="D371" s="273" t="s">
        <v>1530</v>
      </c>
      <c r="E371" s="768">
        <v>0</v>
      </c>
      <c r="F371" s="768">
        <v>1113019.02</v>
      </c>
      <c r="G371" s="768">
        <v>1113019.02</v>
      </c>
      <c r="H371" s="768">
        <v>0</v>
      </c>
      <c r="I371" s="768">
        <v>1113019.02</v>
      </c>
    </row>
    <row r="372" spans="2:9" x14ac:dyDescent="0.2">
      <c r="B372" s="274">
        <v>2</v>
      </c>
      <c r="C372" s="826" t="s">
        <v>2372</v>
      </c>
      <c r="D372" s="273" t="s">
        <v>2353</v>
      </c>
      <c r="E372" s="768">
        <v>0</v>
      </c>
      <c r="F372" s="768">
        <v>0</v>
      </c>
      <c r="G372" s="768">
        <v>0</v>
      </c>
      <c r="H372" s="768">
        <v>116720</v>
      </c>
      <c r="I372" s="768">
        <v>-116720</v>
      </c>
    </row>
    <row r="373" spans="2:9" x14ac:dyDescent="0.2">
      <c r="B373" s="274">
        <v>2</v>
      </c>
      <c r="C373" s="826" t="s">
        <v>1531</v>
      </c>
      <c r="D373" s="273" t="s">
        <v>1513</v>
      </c>
      <c r="E373" s="768">
        <v>0</v>
      </c>
      <c r="F373" s="768">
        <v>130038069.55</v>
      </c>
      <c r="G373" s="768">
        <v>130038069.55</v>
      </c>
      <c r="H373" s="768">
        <v>8159846.2999999998</v>
      </c>
      <c r="I373" s="768">
        <v>121878223.25</v>
      </c>
    </row>
    <row r="374" spans="2:9" x14ac:dyDescent="0.2">
      <c r="B374" s="274">
        <v>2</v>
      </c>
      <c r="C374" s="826" t="s">
        <v>1532</v>
      </c>
      <c r="D374" s="273" t="s">
        <v>1514</v>
      </c>
      <c r="E374" s="768">
        <v>0</v>
      </c>
      <c r="F374" s="768">
        <v>4861475.92</v>
      </c>
      <c r="G374" s="768">
        <v>4861475.92</v>
      </c>
      <c r="H374" s="768">
        <v>15400</v>
      </c>
      <c r="I374" s="768">
        <v>4846075.92</v>
      </c>
    </row>
    <row r="375" spans="2:9" x14ac:dyDescent="0.2">
      <c r="B375" s="274">
        <v>2</v>
      </c>
      <c r="C375" s="826" t="s">
        <v>1533</v>
      </c>
      <c r="D375" s="273" t="s">
        <v>1515</v>
      </c>
      <c r="E375" s="768">
        <v>0</v>
      </c>
      <c r="F375" s="768">
        <v>117304886.98</v>
      </c>
      <c r="G375" s="768">
        <v>117304886.98</v>
      </c>
      <c r="H375" s="768">
        <v>50769664.399999999</v>
      </c>
      <c r="I375" s="768">
        <v>66535222.579999998</v>
      </c>
    </row>
    <row r="376" spans="2:9" x14ac:dyDescent="0.2">
      <c r="B376" s="274">
        <v>2</v>
      </c>
      <c r="C376" s="826" t="s">
        <v>1607</v>
      </c>
      <c r="D376" s="273" t="s">
        <v>1608</v>
      </c>
      <c r="E376" s="768">
        <v>0</v>
      </c>
      <c r="F376" s="768">
        <v>14998526</v>
      </c>
      <c r="G376" s="768">
        <v>14998526</v>
      </c>
      <c r="H376" s="768">
        <v>2294366.4500000002</v>
      </c>
      <c r="I376" s="768">
        <v>12704159.550000001</v>
      </c>
    </row>
    <row r="377" spans="2:9" x14ac:dyDescent="0.2">
      <c r="B377" s="274">
        <v>2</v>
      </c>
      <c r="C377" s="826" t="s">
        <v>1733</v>
      </c>
      <c r="D377" s="273" t="s">
        <v>1734</v>
      </c>
      <c r="E377" s="768">
        <v>0</v>
      </c>
      <c r="F377" s="768">
        <v>10950000</v>
      </c>
      <c r="G377" s="768">
        <v>10950000</v>
      </c>
      <c r="H377" s="768">
        <v>2143904.98</v>
      </c>
      <c r="I377" s="768">
        <v>8806095.0199999996</v>
      </c>
    </row>
    <row r="378" spans="2:9" x14ac:dyDescent="0.2">
      <c r="B378" s="274">
        <v>2</v>
      </c>
      <c r="C378" s="826" t="s">
        <v>1795</v>
      </c>
      <c r="D378" s="273" t="s">
        <v>1796</v>
      </c>
      <c r="E378" s="768">
        <v>0</v>
      </c>
      <c r="F378" s="768">
        <v>23275871.760000002</v>
      </c>
      <c r="G378" s="768">
        <v>23275871.760000002</v>
      </c>
      <c r="H378" s="768">
        <v>6311851.4699999997</v>
      </c>
      <c r="I378" s="768">
        <v>16964020.289999999</v>
      </c>
    </row>
    <row r="379" spans="2:9" x14ac:dyDescent="0.2">
      <c r="B379" s="274">
        <v>2</v>
      </c>
      <c r="C379" s="826" t="s">
        <v>3614</v>
      </c>
      <c r="D379" s="273" t="s">
        <v>3615</v>
      </c>
      <c r="E379" s="768">
        <v>0</v>
      </c>
      <c r="F379" s="768">
        <v>8071169.4500000002</v>
      </c>
      <c r="G379" s="768">
        <v>8071169.4500000002</v>
      </c>
      <c r="H379" s="768">
        <v>3903642.98</v>
      </c>
      <c r="I379" s="768">
        <v>4167526.47</v>
      </c>
    </row>
    <row r="380" spans="2:9" x14ac:dyDescent="0.2">
      <c r="B380" s="274">
        <v>2</v>
      </c>
      <c r="C380" s="826" t="s">
        <v>3616</v>
      </c>
      <c r="D380" s="273" t="s">
        <v>3617</v>
      </c>
      <c r="E380" s="768">
        <v>0</v>
      </c>
      <c r="F380" s="768">
        <v>8071169.4500000002</v>
      </c>
      <c r="G380" s="768">
        <v>8071169.4500000002</v>
      </c>
      <c r="H380" s="768">
        <v>4154335.73</v>
      </c>
      <c r="I380" s="768">
        <v>3916833.72</v>
      </c>
    </row>
    <row r="381" spans="2:9" x14ac:dyDescent="0.2">
      <c r="B381" s="274">
        <v>2</v>
      </c>
      <c r="C381" s="826" t="s">
        <v>3618</v>
      </c>
      <c r="D381" s="273" t="s">
        <v>3619</v>
      </c>
      <c r="E381" s="768">
        <v>0</v>
      </c>
      <c r="F381" s="768">
        <v>26124861</v>
      </c>
      <c r="G381" s="768">
        <v>26124861</v>
      </c>
      <c r="H381" s="768">
        <v>20842687.109999999</v>
      </c>
      <c r="I381" s="768">
        <v>5282173.8899999997</v>
      </c>
    </row>
    <row r="382" spans="2:9" x14ac:dyDescent="0.2">
      <c r="B382" s="274">
        <v>2</v>
      </c>
      <c r="C382" s="826" t="s">
        <v>3620</v>
      </c>
      <c r="D382" s="273" t="s">
        <v>3621</v>
      </c>
      <c r="E382" s="768">
        <v>0</v>
      </c>
      <c r="F382" s="768">
        <v>48000000</v>
      </c>
      <c r="G382" s="768">
        <v>48000000</v>
      </c>
      <c r="H382" s="768">
        <v>14015421.68</v>
      </c>
      <c r="I382" s="768">
        <v>33984578.32</v>
      </c>
    </row>
    <row r="383" spans="2:9" x14ac:dyDescent="0.2">
      <c r="B383" s="274">
        <v>2</v>
      </c>
      <c r="C383" s="826" t="s">
        <v>3622</v>
      </c>
      <c r="D383" s="273" t="s">
        <v>3623</v>
      </c>
      <c r="E383" s="768">
        <v>0</v>
      </c>
      <c r="F383" s="768">
        <v>2204135</v>
      </c>
      <c r="G383" s="768">
        <v>2204135</v>
      </c>
      <c r="H383" s="768">
        <v>0</v>
      </c>
      <c r="I383" s="768">
        <v>2204135</v>
      </c>
    </row>
    <row r="384" spans="2:9" x14ac:dyDescent="0.2">
      <c r="B384" s="274">
        <v>2</v>
      </c>
      <c r="C384" s="826" t="s">
        <v>3624</v>
      </c>
      <c r="D384" s="273" t="s">
        <v>3625</v>
      </c>
      <c r="E384" s="768">
        <v>0</v>
      </c>
      <c r="F384" s="768">
        <v>76000000</v>
      </c>
      <c r="G384" s="768">
        <v>76000000</v>
      </c>
      <c r="H384" s="768">
        <v>40283108.890000001</v>
      </c>
      <c r="I384" s="768">
        <v>35716891.109999999</v>
      </c>
    </row>
    <row r="385" spans="2:9" x14ac:dyDescent="0.2">
      <c r="B385" s="274">
        <v>2</v>
      </c>
      <c r="C385" s="826" t="s">
        <v>3626</v>
      </c>
      <c r="D385" s="273" t="s">
        <v>3627</v>
      </c>
      <c r="E385" s="768">
        <v>0</v>
      </c>
      <c r="F385" s="768">
        <v>44880001</v>
      </c>
      <c r="G385" s="768">
        <v>44880001</v>
      </c>
      <c r="H385" s="768">
        <v>11645488.810000001</v>
      </c>
      <c r="I385" s="768">
        <v>33234512.190000001</v>
      </c>
    </row>
    <row r="386" spans="2:9" x14ac:dyDescent="0.2">
      <c r="B386" s="274">
        <v>2</v>
      </c>
      <c r="C386" s="826" t="s">
        <v>347</v>
      </c>
      <c r="D386" s="273" t="s">
        <v>1418</v>
      </c>
      <c r="E386" s="768">
        <v>2854000000</v>
      </c>
      <c r="F386" s="768">
        <v>-2544823934.8699999</v>
      </c>
      <c r="G386" s="768">
        <v>309176065.13</v>
      </c>
      <c r="H386" s="768">
        <v>0</v>
      </c>
      <c r="I386" s="768">
        <v>309176065.13</v>
      </c>
    </row>
    <row r="388" spans="2:9" s="771" customFormat="1" x14ac:dyDescent="0.2">
      <c r="B388" s="766">
        <v>2</v>
      </c>
      <c r="C388" s="824" t="s">
        <v>364</v>
      </c>
      <c r="D388" s="771" t="s">
        <v>1195</v>
      </c>
      <c r="E388" s="825">
        <v>1165000000</v>
      </c>
      <c r="F388" s="825">
        <v>8292804.25</v>
      </c>
      <c r="G388" s="825">
        <v>1173292804.25</v>
      </c>
      <c r="H388" s="825">
        <v>171368745.40000001</v>
      </c>
      <c r="I388" s="825">
        <v>1001924058.85</v>
      </c>
    </row>
    <row r="389" spans="2:9" x14ac:dyDescent="0.2">
      <c r="B389" s="274">
        <v>2</v>
      </c>
      <c r="C389" s="826" t="s">
        <v>3628</v>
      </c>
      <c r="D389" s="273" t="s">
        <v>1419</v>
      </c>
      <c r="E389" s="768">
        <v>1165000000</v>
      </c>
      <c r="F389" s="768">
        <v>8292804.25</v>
      </c>
      <c r="G389" s="768">
        <v>1173292804.25</v>
      </c>
      <c r="H389" s="768">
        <v>171368745.40000001</v>
      </c>
      <c r="I389" s="768">
        <v>1001924058.85</v>
      </c>
    </row>
    <row r="390" spans="2:9" x14ac:dyDescent="0.2">
      <c r="B390" s="274">
        <v>2</v>
      </c>
      <c r="C390" s="826" t="s">
        <v>348</v>
      </c>
      <c r="D390" s="273" t="s">
        <v>1196</v>
      </c>
      <c r="E390" s="768">
        <v>0</v>
      </c>
      <c r="F390" s="768">
        <v>1755250</v>
      </c>
      <c r="G390" s="768">
        <v>1755250</v>
      </c>
      <c r="H390" s="768">
        <v>0</v>
      </c>
      <c r="I390" s="768">
        <v>1755250</v>
      </c>
    </row>
    <row r="391" spans="2:9" x14ac:dyDescent="0.2">
      <c r="B391" s="274">
        <v>2</v>
      </c>
      <c r="C391" s="826" t="s">
        <v>349</v>
      </c>
      <c r="D391" s="273" t="s">
        <v>527</v>
      </c>
      <c r="E391" s="768">
        <v>0</v>
      </c>
      <c r="F391" s="768">
        <v>1755250</v>
      </c>
      <c r="G391" s="768">
        <v>1755250</v>
      </c>
      <c r="H391" s="768">
        <v>0</v>
      </c>
      <c r="I391" s="768">
        <v>1755250</v>
      </c>
    </row>
    <row r="392" spans="2:9" x14ac:dyDescent="0.2">
      <c r="B392" s="274">
        <v>2</v>
      </c>
      <c r="C392" s="826" t="s">
        <v>350</v>
      </c>
      <c r="D392" s="273" t="s">
        <v>1200</v>
      </c>
      <c r="E392" s="768">
        <v>0</v>
      </c>
      <c r="F392" s="768">
        <v>1281571556.1600001</v>
      </c>
      <c r="G392" s="768">
        <v>1281571556.1600001</v>
      </c>
      <c r="H392" s="768">
        <v>171368745.40000001</v>
      </c>
      <c r="I392" s="768">
        <v>1110202810.76</v>
      </c>
    </row>
    <row r="393" spans="2:9" x14ac:dyDescent="0.2">
      <c r="B393" s="274">
        <v>2</v>
      </c>
      <c r="C393" s="826" t="s">
        <v>351</v>
      </c>
      <c r="D393" s="273" t="s">
        <v>545</v>
      </c>
      <c r="E393" s="768">
        <v>0</v>
      </c>
      <c r="F393" s="768">
        <v>4419540</v>
      </c>
      <c r="G393" s="768">
        <v>4419540</v>
      </c>
      <c r="H393" s="768">
        <v>2009591.94</v>
      </c>
      <c r="I393" s="768">
        <v>2409948.06</v>
      </c>
    </row>
    <row r="394" spans="2:9" x14ac:dyDescent="0.2">
      <c r="B394" s="274">
        <v>2</v>
      </c>
      <c r="C394" s="826" t="s">
        <v>352</v>
      </c>
      <c r="D394" s="273" t="s">
        <v>1420</v>
      </c>
      <c r="E394" s="768">
        <v>0</v>
      </c>
      <c r="F394" s="768">
        <v>72923746</v>
      </c>
      <c r="G394" s="768">
        <v>72923746</v>
      </c>
      <c r="H394" s="768">
        <v>30335853.34</v>
      </c>
      <c r="I394" s="768">
        <v>42587892.659999996</v>
      </c>
    </row>
    <row r="395" spans="2:9" x14ac:dyDescent="0.2">
      <c r="B395" s="274">
        <v>2</v>
      </c>
      <c r="C395" s="826" t="s">
        <v>1250</v>
      </c>
      <c r="D395" s="273" t="s">
        <v>105</v>
      </c>
      <c r="E395" s="768">
        <v>0</v>
      </c>
      <c r="F395" s="768">
        <v>264178465.91999999</v>
      </c>
      <c r="G395" s="768">
        <v>264178465.91999999</v>
      </c>
      <c r="H395" s="768">
        <v>0</v>
      </c>
      <c r="I395" s="768">
        <v>264178465.91999999</v>
      </c>
    </row>
    <row r="396" spans="2:9" x14ac:dyDescent="0.2">
      <c r="B396" s="274">
        <v>2</v>
      </c>
      <c r="C396" s="826" t="s">
        <v>1609</v>
      </c>
      <c r="D396" s="273" t="s">
        <v>1610</v>
      </c>
      <c r="E396" s="768">
        <v>0</v>
      </c>
      <c r="F396" s="768">
        <v>20017808.25</v>
      </c>
      <c r="G396" s="768">
        <v>20017808.25</v>
      </c>
      <c r="H396" s="768">
        <v>11870758.75</v>
      </c>
      <c r="I396" s="768">
        <v>8147049.5</v>
      </c>
    </row>
    <row r="397" spans="2:9" x14ac:dyDescent="0.2">
      <c r="B397" s="274">
        <v>2</v>
      </c>
      <c r="C397" s="826" t="s">
        <v>846</v>
      </c>
      <c r="D397" s="273" t="s">
        <v>847</v>
      </c>
      <c r="E397" s="768">
        <v>0</v>
      </c>
      <c r="F397" s="768">
        <v>20256980.690000001</v>
      </c>
      <c r="G397" s="768">
        <v>20256980.690000001</v>
      </c>
      <c r="H397" s="768">
        <v>7295533.3300000001</v>
      </c>
      <c r="I397" s="768">
        <v>12961447.359999999</v>
      </c>
    </row>
    <row r="398" spans="2:9" x14ac:dyDescent="0.2">
      <c r="B398" s="274">
        <v>2</v>
      </c>
      <c r="C398" s="826" t="s">
        <v>1534</v>
      </c>
      <c r="D398" s="273" t="s">
        <v>2354</v>
      </c>
      <c r="E398" s="768">
        <v>0</v>
      </c>
      <c r="F398" s="768">
        <v>140154234.94999999</v>
      </c>
      <c r="G398" s="768">
        <v>140154234.94999999</v>
      </c>
      <c r="H398" s="768">
        <v>0</v>
      </c>
      <c r="I398" s="768">
        <v>140154234.94999999</v>
      </c>
    </row>
    <row r="399" spans="2:9" x14ac:dyDescent="0.2">
      <c r="B399" s="274">
        <v>2</v>
      </c>
      <c r="C399" s="826" t="s">
        <v>1611</v>
      </c>
      <c r="D399" s="273" t="s">
        <v>1612</v>
      </c>
      <c r="E399" s="768">
        <v>0</v>
      </c>
      <c r="F399" s="768">
        <v>102450000</v>
      </c>
      <c r="G399" s="768">
        <v>102450000</v>
      </c>
      <c r="H399" s="768">
        <v>8640948.4000000004</v>
      </c>
      <c r="I399" s="768">
        <v>93809051.599999994</v>
      </c>
    </row>
    <row r="400" spans="2:9" x14ac:dyDescent="0.2">
      <c r="B400" s="274">
        <v>2</v>
      </c>
      <c r="C400" s="826" t="s">
        <v>3629</v>
      </c>
      <c r="D400" s="273" t="s">
        <v>3630</v>
      </c>
      <c r="E400" s="768">
        <v>0</v>
      </c>
      <c r="F400" s="768">
        <v>253937887.34999999</v>
      </c>
      <c r="G400" s="768">
        <v>253937887.34999999</v>
      </c>
      <c r="H400" s="768">
        <v>50471329.07</v>
      </c>
      <c r="I400" s="768">
        <v>203466558.28</v>
      </c>
    </row>
    <row r="401" spans="2:9" x14ac:dyDescent="0.2">
      <c r="B401" s="274">
        <v>2</v>
      </c>
      <c r="C401" s="826" t="s">
        <v>3631</v>
      </c>
      <c r="D401" s="273" t="s">
        <v>3632</v>
      </c>
      <c r="E401" s="768">
        <v>0</v>
      </c>
      <c r="F401" s="768">
        <v>0</v>
      </c>
      <c r="G401" s="768">
        <v>0</v>
      </c>
      <c r="H401" s="768">
        <v>2560000</v>
      </c>
      <c r="I401" s="768">
        <v>-2560000</v>
      </c>
    </row>
    <row r="402" spans="2:9" x14ac:dyDescent="0.2">
      <c r="B402" s="274">
        <v>2</v>
      </c>
      <c r="C402" s="826" t="s">
        <v>3633</v>
      </c>
      <c r="D402" s="273" t="s">
        <v>3634</v>
      </c>
      <c r="E402" s="768">
        <v>0</v>
      </c>
      <c r="F402" s="768">
        <v>30660620</v>
      </c>
      <c r="G402" s="768">
        <v>30660620</v>
      </c>
      <c r="H402" s="768">
        <v>11538727.25</v>
      </c>
      <c r="I402" s="768">
        <v>19121892.75</v>
      </c>
    </row>
    <row r="403" spans="2:9" x14ac:dyDescent="0.2">
      <c r="B403" s="274">
        <v>2</v>
      </c>
      <c r="C403" s="826" t="s">
        <v>3635</v>
      </c>
      <c r="D403" s="273" t="s">
        <v>3636</v>
      </c>
      <c r="E403" s="768">
        <v>0</v>
      </c>
      <c r="F403" s="768">
        <v>31999999.600000001</v>
      </c>
      <c r="G403" s="768">
        <v>31999999.600000001</v>
      </c>
      <c r="H403" s="768">
        <v>14224268.75</v>
      </c>
      <c r="I403" s="768">
        <v>17775730.850000001</v>
      </c>
    </row>
    <row r="404" spans="2:9" x14ac:dyDescent="0.2">
      <c r="B404" s="274">
        <v>2</v>
      </c>
      <c r="C404" s="826" t="s">
        <v>3637</v>
      </c>
      <c r="D404" s="273" t="s">
        <v>3638</v>
      </c>
      <c r="E404" s="768">
        <v>0</v>
      </c>
      <c r="F404" s="768">
        <v>14300000</v>
      </c>
      <c r="G404" s="768">
        <v>14300000</v>
      </c>
      <c r="H404" s="768">
        <v>858000</v>
      </c>
      <c r="I404" s="768">
        <v>13442000</v>
      </c>
    </row>
    <row r="405" spans="2:9" x14ac:dyDescent="0.2">
      <c r="B405" s="274">
        <v>2</v>
      </c>
      <c r="C405" s="826" t="s">
        <v>3639</v>
      </c>
      <c r="D405" s="273" t="s">
        <v>3640</v>
      </c>
      <c r="E405" s="768">
        <v>0</v>
      </c>
      <c r="F405" s="768">
        <v>7560000</v>
      </c>
      <c r="G405" s="768">
        <v>7560000</v>
      </c>
      <c r="H405" s="768">
        <v>5251776.99</v>
      </c>
      <c r="I405" s="768">
        <v>2308223.0099999998</v>
      </c>
    </row>
    <row r="406" spans="2:9" x14ac:dyDescent="0.2">
      <c r="B406" s="274">
        <v>2</v>
      </c>
      <c r="C406" s="826" t="s">
        <v>3641</v>
      </c>
      <c r="D406" s="273" t="s">
        <v>3642</v>
      </c>
      <c r="E406" s="768">
        <v>0</v>
      </c>
      <c r="F406" s="768">
        <v>267280000</v>
      </c>
      <c r="G406" s="768">
        <v>267280000</v>
      </c>
      <c r="H406" s="768">
        <v>23304000</v>
      </c>
      <c r="I406" s="768">
        <v>243976000</v>
      </c>
    </row>
    <row r="407" spans="2:9" x14ac:dyDescent="0.2">
      <c r="B407" s="274">
        <v>2</v>
      </c>
      <c r="C407" s="826" t="s">
        <v>3643</v>
      </c>
      <c r="D407" s="273" t="s">
        <v>3644</v>
      </c>
      <c r="E407" s="768">
        <v>0</v>
      </c>
      <c r="F407" s="768">
        <v>51432273.399999999</v>
      </c>
      <c r="G407" s="768">
        <v>51432273.399999999</v>
      </c>
      <c r="H407" s="768">
        <v>3007957.58</v>
      </c>
      <c r="I407" s="768">
        <v>48424315.82</v>
      </c>
    </row>
    <row r="408" spans="2:9" x14ac:dyDescent="0.2">
      <c r="B408" s="274">
        <v>2</v>
      </c>
      <c r="C408" s="826" t="s">
        <v>353</v>
      </c>
      <c r="D408" s="273" t="s">
        <v>1421</v>
      </c>
      <c r="E408" s="768">
        <v>1165000000</v>
      </c>
      <c r="F408" s="768">
        <v>-1275034001.9100001</v>
      </c>
      <c r="G408" s="768">
        <v>-110034001.91</v>
      </c>
      <c r="H408" s="768">
        <v>0</v>
      </c>
      <c r="I408" s="768">
        <v>-110034001.91</v>
      </c>
    </row>
    <row r="410" spans="2:9" s="771" customFormat="1" x14ac:dyDescent="0.2">
      <c r="B410" s="766">
        <v>2</v>
      </c>
      <c r="C410" s="824" t="s">
        <v>1396</v>
      </c>
      <c r="D410" s="771" t="s">
        <v>1215</v>
      </c>
      <c r="E410" s="825">
        <v>274000000</v>
      </c>
      <c r="F410" s="825">
        <v>0</v>
      </c>
      <c r="G410" s="825">
        <v>274000000</v>
      </c>
      <c r="H410" s="825">
        <v>29247892.859999999</v>
      </c>
      <c r="I410" s="825">
        <v>244752107.13999999</v>
      </c>
    </row>
    <row r="411" spans="2:9" x14ac:dyDescent="0.2">
      <c r="B411" s="274">
        <v>2</v>
      </c>
      <c r="C411" s="826" t="s">
        <v>749</v>
      </c>
      <c r="D411" s="273" t="s">
        <v>1422</v>
      </c>
      <c r="E411" s="768">
        <v>274000000</v>
      </c>
      <c r="F411" s="768">
        <v>0</v>
      </c>
      <c r="G411" s="768">
        <v>274000000</v>
      </c>
      <c r="H411" s="768">
        <v>29247892.859999999</v>
      </c>
      <c r="I411" s="768">
        <v>244752107.13999999</v>
      </c>
    </row>
    <row r="412" spans="2:9" x14ac:dyDescent="0.2">
      <c r="B412" s="274">
        <v>2</v>
      </c>
      <c r="C412" s="826" t="s">
        <v>354</v>
      </c>
      <c r="D412" s="273" t="s">
        <v>1423</v>
      </c>
      <c r="E412" s="768">
        <v>0</v>
      </c>
      <c r="F412" s="768">
        <v>108388874.34999999</v>
      </c>
      <c r="G412" s="768">
        <v>108388874.34999999</v>
      </c>
      <c r="H412" s="768">
        <v>25321186.710000001</v>
      </c>
      <c r="I412" s="768">
        <v>83067687.640000001</v>
      </c>
    </row>
    <row r="413" spans="2:9" x14ac:dyDescent="0.2">
      <c r="B413" s="274">
        <v>2</v>
      </c>
      <c r="C413" s="826" t="s">
        <v>355</v>
      </c>
      <c r="D413" s="273" t="s">
        <v>1424</v>
      </c>
      <c r="E413" s="768">
        <v>0</v>
      </c>
      <c r="F413" s="768">
        <v>90249212.200000003</v>
      </c>
      <c r="G413" s="768">
        <v>90249212.200000003</v>
      </c>
      <c r="H413" s="768">
        <v>23799732.440000001</v>
      </c>
      <c r="I413" s="768">
        <v>66449479.759999998</v>
      </c>
    </row>
    <row r="414" spans="2:9" x14ac:dyDescent="0.2">
      <c r="B414" s="274">
        <v>2</v>
      </c>
      <c r="C414" s="826" t="s">
        <v>699</v>
      </c>
      <c r="D414" s="273" t="s">
        <v>466</v>
      </c>
      <c r="E414" s="768">
        <v>0</v>
      </c>
      <c r="F414" s="768">
        <v>3080000</v>
      </c>
      <c r="G414" s="768">
        <v>3080000</v>
      </c>
      <c r="H414" s="768">
        <v>1521454.27</v>
      </c>
      <c r="I414" s="768">
        <v>1558545.73</v>
      </c>
    </row>
    <row r="415" spans="2:9" x14ac:dyDescent="0.2">
      <c r="B415" s="274">
        <v>2</v>
      </c>
      <c r="C415" s="826" t="s">
        <v>1425</v>
      </c>
      <c r="D415" s="273" t="s">
        <v>866</v>
      </c>
      <c r="E415" s="768">
        <v>0</v>
      </c>
      <c r="F415" s="768">
        <v>15059662.15</v>
      </c>
      <c r="G415" s="768">
        <v>15059662.15</v>
      </c>
      <c r="H415" s="768">
        <v>0</v>
      </c>
      <c r="I415" s="768">
        <v>15059662.15</v>
      </c>
    </row>
    <row r="416" spans="2:9" x14ac:dyDescent="0.2">
      <c r="B416" s="274">
        <v>2</v>
      </c>
      <c r="C416" s="826" t="s">
        <v>614</v>
      </c>
      <c r="D416" s="273" t="s">
        <v>867</v>
      </c>
      <c r="E416" s="768">
        <v>0</v>
      </c>
      <c r="F416" s="768">
        <v>36494255.75</v>
      </c>
      <c r="G416" s="768">
        <v>36494255.75</v>
      </c>
      <c r="H416" s="768">
        <v>3926706.15</v>
      </c>
      <c r="I416" s="768">
        <v>32567549.600000001</v>
      </c>
    </row>
    <row r="417" spans="2:9" x14ac:dyDescent="0.2">
      <c r="B417" s="274">
        <v>2</v>
      </c>
      <c r="C417" s="826" t="s">
        <v>1099</v>
      </c>
      <c r="D417" s="273" t="s">
        <v>2698</v>
      </c>
      <c r="E417" s="768">
        <v>0</v>
      </c>
      <c r="F417" s="768">
        <v>22842886.48</v>
      </c>
      <c r="G417" s="768">
        <v>22842886.48</v>
      </c>
      <c r="H417" s="768">
        <v>2065500</v>
      </c>
      <c r="I417" s="768">
        <v>20777386.48</v>
      </c>
    </row>
    <row r="418" spans="2:9" x14ac:dyDescent="0.2">
      <c r="B418" s="274">
        <v>2</v>
      </c>
      <c r="C418" s="826" t="s">
        <v>81</v>
      </c>
      <c r="D418" s="273" t="s">
        <v>868</v>
      </c>
      <c r="E418" s="768">
        <v>0</v>
      </c>
      <c r="F418" s="768">
        <v>4180848.61</v>
      </c>
      <c r="G418" s="768">
        <v>4180848.61</v>
      </c>
      <c r="H418" s="768">
        <v>19361</v>
      </c>
      <c r="I418" s="768">
        <v>4161487.61</v>
      </c>
    </row>
    <row r="419" spans="2:9" x14ac:dyDescent="0.2">
      <c r="B419" s="274">
        <v>2</v>
      </c>
      <c r="C419" s="826" t="s">
        <v>82</v>
      </c>
      <c r="D419" s="273" t="s">
        <v>83</v>
      </c>
      <c r="E419" s="768">
        <v>0</v>
      </c>
      <c r="F419" s="768">
        <v>9470520.6600000001</v>
      </c>
      <c r="G419" s="768">
        <v>9470520.6600000001</v>
      </c>
      <c r="H419" s="768">
        <v>1841845.15</v>
      </c>
      <c r="I419" s="768">
        <v>7628675.5099999998</v>
      </c>
    </row>
    <row r="420" spans="2:9" x14ac:dyDescent="0.2">
      <c r="B420" s="274">
        <v>2</v>
      </c>
      <c r="C420" s="826" t="s">
        <v>84</v>
      </c>
      <c r="D420" s="273" t="s">
        <v>869</v>
      </c>
      <c r="E420" s="768">
        <v>274000000</v>
      </c>
      <c r="F420" s="768">
        <v>-144883130.09999999</v>
      </c>
      <c r="G420" s="768">
        <v>129116869.90000001</v>
      </c>
      <c r="H420" s="768">
        <v>0</v>
      </c>
      <c r="I420" s="768">
        <v>129116869.90000001</v>
      </c>
    </row>
    <row r="422" spans="2:9" s="771" customFormat="1" x14ac:dyDescent="0.2">
      <c r="B422" s="766">
        <v>2</v>
      </c>
      <c r="C422" s="824" t="s">
        <v>326</v>
      </c>
      <c r="D422" s="771" t="s">
        <v>765</v>
      </c>
      <c r="E422" s="825">
        <v>675000000</v>
      </c>
      <c r="F422" s="825">
        <v>-188740.46</v>
      </c>
      <c r="G422" s="825">
        <v>674811259.53999996</v>
      </c>
      <c r="H422" s="825">
        <v>123832990.20999999</v>
      </c>
      <c r="I422" s="825">
        <v>550978269.33000004</v>
      </c>
    </row>
    <row r="423" spans="2:9" x14ac:dyDescent="0.2">
      <c r="B423" s="274">
        <v>2</v>
      </c>
      <c r="C423" s="826" t="s">
        <v>683</v>
      </c>
      <c r="D423" s="273" t="s">
        <v>870</v>
      </c>
      <c r="E423" s="768">
        <v>675000000</v>
      </c>
      <c r="F423" s="768">
        <v>-188740.46</v>
      </c>
      <c r="G423" s="768">
        <v>674811259.53999996</v>
      </c>
      <c r="H423" s="768">
        <v>123832990.20999999</v>
      </c>
      <c r="I423" s="768">
        <v>550978269.33000004</v>
      </c>
    </row>
    <row r="424" spans="2:9" x14ac:dyDescent="0.2">
      <c r="B424" s="274">
        <v>2</v>
      </c>
      <c r="C424" s="826" t="s">
        <v>1291</v>
      </c>
      <c r="D424" s="273" t="s">
        <v>766</v>
      </c>
      <c r="E424" s="768">
        <v>0</v>
      </c>
      <c r="F424" s="768">
        <v>253533294.58000001</v>
      </c>
      <c r="G424" s="768">
        <v>253533294.58000001</v>
      </c>
      <c r="H424" s="768">
        <v>48244386.920000002</v>
      </c>
      <c r="I424" s="768">
        <v>205288907.66</v>
      </c>
    </row>
    <row r="425" spans="2:9" x14ac:dyDescent="0.2">
      <c r="B425" s="274">
        <v>2</v>
      </c>
      <c r="C425" s="826" t="s">
        <v>1292</v>
      </c>
      <c r="D425" s="273" t="s">
        <v>1293</v>
      </c>
      <c r="E425" s="768">
        <v>0</v>
      </c>
      <c r="F425" s="768">
        <v>112474295.58</v>
      </c>
      <c r="G425" s="768">
        <v>112474295.58</v>
      </c>
      <c r="H425" s="768">
        <v>16521065.869999999</v>
      </c>
      <c r="I425" s="768">
        <v>95953229.709999993</v>
      </c>
    </row>
    <row r="426" spans="2:9" x14ac:dyDescent="0.2">
      <c r="B426" s="274">
        <v>2</v>
      </c>
      <c r="C426" s="826" t="s">
        <v>1294</v>
      </c>
      <c r="D426" s="273" t="s">
        <v>871</v>
      </c>
      <c r="E426" s="768">
        <v>0</v>
      </c>
      <c r="F426" s="768">
        <v>26920180</v>
      </c>
      <c r="G426" s="768">
        <v>26920180</v>
      </c>
      <c r="H426" s="768">
        <v>13517543.9</v>
      </c>
      <c r="I426" s="768">
        <v>13402636.1</v>
      </c>
    </row>
    <row r="427" spans="2:9" x14ac:dyDescent="0.2">
      <c r="B427" s="274">
        <v>2</v>
      </c>
      <c r="C427" s="826" t="s">
        <v>3645</v>
      </c>
      <c r="D427" s="273" t="s">
        <v>1295</v>
      </c>
      <c r="E427" s="768">
        <v>0</v>
      </c>
      <c r="F427" s="768">
        <v>0</v>
      </c>
      <c r="G427" s="768">
        <v>0</v>
      </c>
      <c r="H427" s="768">
        <v>45764</v>
      </c>
      <c r="I427" s="768">
        <v>-45764</v>
      </c>
    </row>
    <row r="428" spans="2:9" x14ac:dyDescent="0.2">
      <c r="B428" s="274">
        <v>2</v>
      </c>
      <c r="C428" s="826" t="s">
        <v>1296</v>
      </c>
      <c r="D428" s="273" t="s">
        <v>697</v>
      </c>
      <c r="E428" s="768">
        <v>0</v>
      </c>
      <c r="F428" s="768">
        <v>70911632</v>
      </c>
      <c r="G428" s="768">
        <v>70911632</v>
      </c>
      <c r="H428" s="768">
        <v>12022263.85</v>
      </c>
      <c r="I428" s="768">
        <v>58889368.149999999</v>
      </c>
    </row>
    <row r="429" spans="2:9" x14ac:dyDescent="0.2">
      <c r="B429" s="274">
        <v>2</v>
      </c>
      <c r="C429" s="826" t="s">
        <v>1297</v>
      </c>
      <c r="D429" s="273" t="s">
        <v>1298</v>
      </c>
      <c r="E429" s="768">
        <v>0</v>
      </c>
      <c r="F429" s="768">
        <v>12453869</v>
      </c>
      <c r="G429" s="768">
        <v>12453869</v>
      </c>
      <c r="H429" s="768">
        <v>4339286.45</v>
      </c>
      <c r="I429" s="768">
        <v>8114582.5499999998</v>
      </c>
    </row>
    <row r="430" spans="2:9" x14ac:dyDescent="0.2">
      <c r="B430" s="274">
        <v>2</v>
      </c>
      <c r="C430" s="826" t="s">
        <v>3646</v>
      </c>
      <c r="D430" s="273" t="s">
        <v>467</v>
      </c>
      <c r="E430" s="768">
        <v>0</v>
      </c>
      <c r="F430" s="768">
        <v>15176863</v>
      </c>
      <c r="G430" s="768">
        <v>15176863</v>
      </c>
      <c r="H430" s="768">
        <v>605190</v>
      </c>
      <c r="I430" s="768">
        <v>14571673</v>
      </c>
    </row>
    <row r="431" spans="2:9" x14ac:dyDescent="0.2">
      <c r="B431" s="274">
        <v>2</v>
      </c>
      <c r="C431" s="826" t="s">
        <v>1677</v>
      </c>
      <c r="D431" s="273" t="s">
        <v>1299</v>
      </c>
      <c r="E431" s="768">
        <v>0</v>
      </c>
      <c r="F431" s="768">
        <v>4329698.38</v>
      </c>
      <c r="G431" s="768">
        <v>4329698.38</v>
      </c>
      <c r="H431" s="768">
        <v>0</v>
      </c>
      <c r="I431" s="768">
        <v>4329698.38</v>
      </c>
    </row>
    <row r="432" spans="2:9" x14ac:dyDescent="0.2">
      <c r="B432" s="274">
        <v>2</v>
      </c>
      <c r="C432" s="826" t="s">
        <v>528</v>
      </c>
      <c r="D432" s="273" t="s">
        <v>1251</v>
      </c>
      <c r="E432" s="768">
        <v>0</v>
      </c>
      <c r="F432" s="768">
        <v>8000000</v>
      </c>
      <c r="G432" s="768">
        <v>8000000</v>
      </c>
      <c r="H432" s="768">
        <v>988173.7</v>
      </c>
      <c r="I432" s="768">
        <v>7011826.2999999998</v>
      </c>
    </row>
    <row r="433" spans="2:9" x14ac:dyDescent="0.2">
      <c r="B433" s="274">
        <v>2</v>
      </c>
      <c r="C433" s="826" t="s">
        <v>3647</v>
      </c>
      <c r="D433" s="273" t="s">
        <v>1092</v>
      </c>
      <c r="E433" s="768">
        <v>0</v>
      </c>
      <c r="F433" s="768">
        <v>2800000</v>
      </c>
      <c r="G433" s="768">
        <v>2800000</v>
      </c>
      <c r="H433" s="768">
        <v>0</v>
      </c>
      <c r="I433" s="768">
        <v>2800000</v>
      </c>
    </row>
    <row r="434" spans="2:9" x14ac:dyDescent="0.2">
      <c r="B434" s="274">
        <v>2</v>
      </c>
      <c r="C434" s="826" t="s">
        <v>848</v>
      </c>
      <c r="D434" s="273" t="s">
        <v>849</v>
      </c>
      <c r="E434" s="768">
        <v>0</v>
      </c>
      <c r="F434" s="768">
        <v>466756.62</v>
      </c>
      <c r="G434" s="768">
        <v>466756.62</v>
      </c>
      <c r="H434" s="768">
        <v>205099.15</v>
      </c>
      <c r="I434" s="768">
        <v>261657.47</v>
      </c>
    </row>
    <row r="435" spans="2:9" x14ac:dyDescent="0.2">
      <c r="B435" s="274">
        <v>2</v>
      </c>
      <c r="C435" s="826" t="s">
        <v>1300</v>
      </c>
      <c r="D435" s="273" t="s">
        <v>872</v>
      </c>
      <c r="E435" s="768">
        <v>0</v>
      </c>
      <c r="F435" s="768">
        <v>96881356.930000007</v>
      </c>
      <c r="G435" s="768">
        <v>96881356.930000007</v>
      </c>
      <c r="H435" s="768">
        <v>28914054.199999999</v>
      </c>
      <c r="I435" s="768">
        <v>67967302.730000004</v>
      </c>
    </row>
    <row r="436" spans="2:9" x14ac:dyDescent="0.2">
      <c r="B436" s="274">
        <v>2</v>
      </c>
      <c r="C436" s="826" t="s">
        <v>850</v>
      </c>
      <c r="D436" s="273" t="s">
        <v>13</v>
      </c>
      <c r="E436" s="768">
        <v>0</v>
      </c>
      <c r="F436" s="768">
        <v>3533325</v>
      </c>
      <c r="G436" s="768">
        <v>3533325</v>
      </c>
      <c r="H436" s="768">
        <v>2103010.25</v>
      </c>
      <c r="I436" s="768">
        <v>1430314.75</v>
      </c>
    </row>
    <row r="437" spans="2:9" x14ac:dyDescent="0.2">
      <c r="B437" s="274">
        <v>2</v>
      </c>
      <c r="C437" s="826" t="s">
        <v>529</v>
      </c>
      <c r="D437" s="273" t="s">
        <v>873</v>
      </c>
      <c r="E437" s="768">
        <v>0</v>
      </c>
      <c r="F437" s="768">
        <v>36788031.93</v>
      </c>
      <c r="G437" s="768">
        <v>36788031.93</v>
      </c>
      <c r="H437" s="768">
        <v>11205919.550000001</v>
      </c>
      <c r="I437" s="768">
        <v>25582112.379999999</v>
      </c>
    </row>
    <row r="438" spans="2:9" x14ac:dyDescent="0.2">
      <c r="B438" s="274">
        <v>2</v>
      </c>
      <c r="C438" s="826" t="s">
        <v>1100</v>
      </c>
      <c r="D438" s="273" t="s">
        <v>163</v>
      </c>
      <c r="E438" s="768">
        <v>0</v>
      </c>
      <c r="F438" s="768">
        <v>56560000</v>
      </c>
      <c r="G438" s="768">
        <v>56560000</v>
      </c>
      <c r="H438" s="768">
        <v>15605124.4</v>
      </c>
      <c r="I438" s="768">
        <v>40954875.600000001</v>
      </c>
    </row>
    <row r="439" spans="2:9" x14ac:dyDescent="0.2">
      <c r="B439" s="274">
        <v>2</v>
      </c>
      <c r="C439" s="826" t="s">
        <v>1301</v>
      </c>
      <c r="D439" s="273" t="s">
        <v>778</v>
      </c>
      <c r="E439" s="768">
        <v>0</v>
      </c>
      <c r="F439" s="768">
        <v>113215508.90000001</v>
      </c>
      <c r="G439" s="768">
        <v>113215508.90000001</v>
      </c>
      <c r="H439" s="768">
        <v>30088299.800000001</v>
      </c>
      <c r="I439" s="768">
        <v>83127209.099999994</v>
      </c>
    </row>
    <row r="440" spans="2:9" x14ac:dyDescent="0.2">
      <c r="B440" s="274">
        <v>2</v>
      </c>
      <c r="C440" s="826" t="s">
        <v>1302</v>
      </c>
      <c r="D440" s="273" t="s">
        <v>335</v>
      </c>
      <c r="E440" s="768">
        <v>0</v>
      </c>
      <c r="F440" s="768">
        <v>24952000</v>
      </c>
      <c r="G440" s="768">
        <v>24952000</v>
      </c>
      <c r="H440" s="768">
        <v>11212513.380000001</v>
      </c>
      <c r="I440" s="768">
        <v>13739486.619999999</v>
      </c>
    </row>
    <row r="441" spans="2:9" x14ac:dyDescent="0.2">
      <c r="B441" s="274">
        <v>2</v>
      </c>
      <c r="C441" s="826" t="s">
        <v>1252</v>
      </c>
      <c r="D441" s="273" t="s">
        <v>2373</v>
      </c>
      <c r="E441" s="768">
        <v>0</v>
      </c>
      <c r="F441" s="768">
        <v>0</v>
      </c>
      <c r="G441" s="768">
        <v>0</v>
      </c>
      <c r="H441" s="768">
        <v>6240</v>
      </c>
      <c r="I441" s="768">
        <v>-6240</v>
      </c>
    </row>
    <row r="442" spans="2:9" x14ac:dyDescent="0.2">
      <c r="B442" s="274">
        <v>2</v>
      </c>
      <c r="C442" s="826" t="s">
        <v>336</v>
      </c>
      <c r="D442" s="273" t="s">
        <v>337</v>
      </c>
      <c r="E442" s="768">
        <v>0</v>
      </c>
      <c r="F442" s="768">
        <v>23436924</v>
      </c>
      <c r="G442" s="768">
        <v>23436924</v>
      </c>
      <c r="H442" s="768">
        <v>2448806.9500000002</v>
      </c>
      <c r="I442" s="768">
        <v>20988117.050000001</v>
      </c>
    </row>
    <row r="443" spans="2:9" x14ac:dyDescent="0.2">
      <c r="B443" s="274">
        <v>2</v>
      </c>
      <c r="C443" s="826" t="s">
        <v>338</v>
      </c>
      <c r="D443" s="273" t="s">
        <v>874</v>
      </c>
      <c r="E443" s="768">
        <v>0</v>
      </c>
      <c r="F443" s="768">
        <v>33000000</v>
      </c>
      <c r="G443" s="768">
        <v>33000000</v>
      </c>
      <c r="H443" s="768">
        <v>12844374.470000001</v>
      </c>
      <c r="I443" s="768">
        <v>20155625.530000001</v>
      </c>
    </row>
    <row r="444" spans="2:9" x14ac:dyDescent="0.2">
      <c r="B444" s="274">
        <v>2</v>
      </c>
      <c r="C444" s="826" t="s">
        <v>1442</v>
      </c>
      <c r="D444" s="273" t="s">
        <v>875</v>
      </c>
      <c r="E444" s="768">
        <v>0</v>
      </c>
      <c r="F444" s="768">
        <v>0</v>
      </c>
      <c r="G444" s="768">
        <v>0</v>
      </c>
      <c r="H444" s="768">
        <v>14000</v>
      </c>
      <c r="I444" s="768">
        <v>-14000</v>
      </c>
    </row>
    <row r="445" spans="2:9" x14ac:dyDescent="0.2">
      <c r="B445" s="274">
        <v>2</v>
      </c>
      <c r="C445" s="826" t="s">
        <v>700</v>
      </c>
      <c r="D445" s="273" t="s">
        <v>14</v>
      </c>
      <c r="E445" s="768">
        <v>0</v>
      </c>
      <c r="F445" s="768">
        <v>31826584.899999999</v>
      </c>
      <c r="G445" s="768">
        <v>31826584.899999999</v>
      </c>
      <c r="H445" s="768">
        <v>3562365</v>
      </c>
      <c r="I445" s="768">
        <v>28264219.899999999</v>
      </c>
    </row>
    <row r="446" spans="2:9" x14ac:dyDescent="0.2">
      <c r="B446" s="274">
        <v>2</v>
      </c>
      <c r="C446" s="826" t="s">
        <v>1535</v>
      </c>
      <c r="D446" s="273" t="s">
        <v>789</v>
      </c>
      <c r="E446" s="768">
        <v>0</v>
      </c>
      <c r="F446" s="768">
        <v>64061486.5</v>
      </c>
      <c r="G446" s="768">
        <v>64061486.5</v>
      </c>
      <c r="H446" s="768">
        <v>15503986.42</v>
      </c>
      <c r="I446" s="768">
        <v>48557500.079999998</v>
      </c>
    </row>
    <row r="447" spans="2:9" x14ac:dyDescent="0.2">
      <c r="B447" s="274">
        <v>2</v>
      </c>
      <c r="C447" s="826" t="s">
        <v>1536</v>
      </c>
      <c r="D447" s="273" t="s">
        <v>1537</v>
      </c>
      <c r="E447" s="768">
        <v>0</v>
      </c>
      <c r="F447" s="768">
        <v>31937497.84</v>
      </c>
      <c r="G447" s="768">
        <v>31937497.84</v>
      </c>
      <c r="H447" s="768">
        <v>3478694.11</v>
      </c>
      <c r="I447" s="768">
        <v>28458803.73</v>
      </c>
    </row>
    <row r="448" spans="2:9" x14ac:dyDescent="0.2">
      <c r="B448" s="274">
        <v>2</v>
      </c>
      <c r="C448" s="826" t="s">
        <v>1613</v>
      </c>
      <c r="D448" s="273" t="s">
        <v>1614</v>
      </c>
      <c r="E448" s="768">
        <v>0</v>
      </c>
      <c r="F448" s="768">
        <v>0</v>
      </c>
      <c r="G448" s="768">
        <v>0</v>
      </c>
      <c r="H448" s="768">
        <v>288120</v>
      </c>
      <c r="I448" s="768">
        <v>-288120</v>
      </c>
    </row>
    <row r="449" spans="2:9" x14ac:dyDescent="0.2">
      <c r="B449" s="274">
        <v>2</v>
      </c>
      <c r="C449" s="826" t="s">
        <v>1678</v>
      </c>
      <c r="D449" s="273" t="s">
        <v>1679</v>
      </c>
      <c r="E449" s="768">
        <v>0</v>
      </c>
      <c r="F449" s="768">
        <v>32123988.66</v>
      </c>
      <c r="G449" s="768">
        <v>32123988.66</v>
      </c>
      <c r="H449" s="768">
        <v>11737172.310000001</v>
      </c>
      <c r="I449" s="768">
        <v>20386816.350000001</v>
      </c>
    </row>
    <row r="450" spans="2:9" x14ac:dyDescent="0.2">
      <c r="B450" s="274">
        <v>2</v>
      </c>
      <c r="C450" s="826" t="s">
        <v>104</v>
      </c>
      <c r="D450" s="273" t="s">
        <v>791</v>
      </c>
      <c r="E450" s="768">
        <v>0</v>
      </c>
      <c r="F450" s="768">
        <v>920600</v>
      </c>
      <c r="G450" s="768">
        <v>920600</v>
      </c>
      <c r="H450" s="768">
        <v>1082262.8700000001</v>
      </c>
      <c r="I450" s="768">
        <v>-161662.87</v>
      </c>
    </row>
    <row r="451" spans="2:9" x14ac:dyDescent="0.2">
      <c r="B451" s="274">
        <v>2</v>
      </c>
      <c r="C451" s="826" t="s">
        <v>530</v>
      </c>
      <c r="D451" s="273" t="s">
        <v>203</v>
      </c>
      <c r="E451" s="768">
        <v>0</v>
      </c>
      <c r="F451" s="768">
        <v>920600</v>
      </c>
      <c r="G451" s="768">
        <v>920600</v>
      </c>
      <c r="H451" s="768">
        <v>1082262.8700000001</v>
      </c>
      <c r="I451" s="768">
        <v>-161662.87</v>
      </c>
    </row>
    <row r="452" spans="2:9" x14ac:dyDescent="0.2">
      <c r="B452" s="274">
        <v>2</v>
      </c>
      <c r="C452" s="826" t="s">
        <v>204</v>
      </c>
      <c r="D452" s="273" t="s">
        <v>876</v>
      </c>
      <c r="E452" s="768">
        <v>675000000</v>
      </c>
      <c r="F452" s="768">
        <v>-528800987.37</v>
      </c>
      <c r="G452" s="768">
        <v>146199012.63</v>
      </c>
      <c r="H452" s="768">
        <v>0</v>
      </c>
      <c r="I452" s="768">
        <v>146199012.63</v>
      </c>
    </row>
    <row r="454" spans="2:9" x14ac:dyDescent="0.2">
      <c r="B454" s="766">
        <v>3</v>
      </c>
      <c r="C454" s="824"/>
      <c r="D454" s="771" t="s">
        <v>259</v>
      </c>
      <c r="E454" s="825">
        <v>25968270848.57</v>
      </c>
      <c r="F454" s="825">
        <v>0</v>
      </c>
      <c r="G454" s="825">
        <v>25968270848.57</v>
      </c>
      <c r="H454" s="825">
        <v>3065479840.52</v>
      </c>
      <c r="I454" s="825">
        <v>22902791008.049999</v>
      </c>
    </row>
    <row r="455" spans="2:9" x14ac:dyDescent="0.2">
      <c r="B455" s="766"/>
      <c r="C455" s="824"/>
      <c r="D455" s="771"/>
      <c r="E455" s="825"/>
      <c r="F455" s="825"/>
      <c r="G455" s="825"/>
      <c r="H455" s="825"/>
      <c r="I455" s="825"/>
    </row>
    <row r="456" spans="2:9" s="771" customFormat="1" x14ac:dyDescent="0.2">
      <c r="B456" s="766">
        <v>3</v>
      </c>
      <c r="C456" s="824" t="s">
        <v>684</v>
      </c>
      <c r="D456" s="771" t="s">
        <v>799</v>
      </c>
      <c r="E456" s="825">
        <v>25968270848.57</v>
      </c>
      <c r="F456" s="825">
        <v>0</v>
      </c>
      <c r="G456" s="825">
        <v>25968270848.57</v>
      </c>
      <c r="H456" s="825">
        <v>3065479840.52</v>
      </c>
      <c r="I456" s="825">
        <v>22902791008.049999</v>
      </c>
    </row>
    <row r="457" spans="2:9" x14ac:dyDescent="0.2">
      <c r="B457" s="274">
        <v>3</v>
      </c>
      <c r="C457" s="826" t="s">
        <v>685</v>
      </c>
      <c r="D457" s="273" t="s">
        <v>800</v>
      </c>
      <c r="E457" s="768">
        <v>15388270848.57</v>
      </c>
      <c r="F457" s="768">
        <v>473207.73</v>
      </c>
      <c r="G457" s="768">
        <v>15388744056.299999</v>
      </c>
      <c r="H457" s="768">
        <v>15522461</v>
      </c>
      <c r="I457" s="768">
        <v>15373221595.299999</v>
      </c>
    </row>
    <row r="458" spans="2:9" x14ac:dyDescent="0.2">
      <c r="B458" s="274">
        <v>3</v>
      </c>
      <c r="C458" s="826" t="s">
        <v>686</v>
      </c>
      <c r="D458" s="273" t="s">
        <v>801</v>
      </c>
      <c r="E458" s="768">
        <v>15388270848.57</v>
      </c>
      <c r="F458" s="768">
        <v>473207.73</v>
      </c>
      <c r="G458" s="768">
        <v>15388744056.299999</v>
      </c>
      <c r="H458" s="768">
        <v>15522461</v>
      </c>
      <c r="I458" s="768">
        <v>15373221595.299999</v>
      </c>
    </row>
    <row r="459" spans="2:9" x14ac:dyDescent="0.2">
      <c r="B459" s="274">
        <v>3</v>
      </c>
      <c r="C459" s="826" t="s">
        <v>3057</v>
      </c>
      <c r="D459" s="273" t="s">
        <v>3058</v>
      </c>
      <c r="E459" s="768">
        <v>550000000</v>
      </c>
      <c r="F459" s="768">
        <v>0</v>
      </c>
      <c r="G459" s="768">
        <v>550000000</v>
      </c>
      <c r="H459" s="768">
        <v>0</v>
      </c>
      <c r="I459" s="768">
        <v>550000000</v>
      </c>
    </row>
    <row r="460" spans="2:9" x14ac:dyDescent="0.2">
      <c r="B460" s="274">
        <v>3</v>
      </c>
      <c r="C460" s="826" t="s">
        <v>3648</v>
      </c>
      <c r="D460" s="273" t="s">
        <v>3649</v>
      </c>
      <c r="E460" s="768">
        <v>330000000</v>
      </c>
      <c r="F460" s="768">
        <v>0</v>
      </c>
      <c r="G460" s="768">
        <v>330000000</v>
      </c>
      <c r="H460" s="768">
        <v>0</v>
      </c>
      <c r="I460" s="768">
        <v>330000000</v>
      </c>
    </row>
    <row r="461" spans="2:9" x14ac:dyDescent="0.2">
      <c r="B461" s="274">
        <v>3</v>
      </c>
      <c r="C461" s="826" t="s">
        <v>3059</v>
      </c>
      <c r="D461" s="273" t="s">
        <v>3060</v>
      </c>
      <c r="E461" s="768">
        <v>1000000000</v>
      </c>
      <c r="F461" s="768">
        <v>0</v>
      </c>
      <c r="G461" s="768">
        <v>1000000000</v>
      </c>
      <c r="H461" s="768">
        <v>0</v>
      </c>
      <c r="I461" s="768">
        <v>1000000000</v>
      </c>
    </row>
    <row r="462" spans="2:9" x14ac:dyDescent="0.2">
      <c r="B462" s="274">
        <v>3</v>
      </c>
      <c r="C462" s="826" t="s">
        <v>2374</v>
      </c>
      <c r="D462" s="273" t="s">
        <v>2375</v>
      </c>
      <c r="E462" s="768">
        <v>45000000</v>
      </c>
      <c r="F462" s="768">
        <v>0</v>
      </c>
      <c r="G462" s="768">
        <v>45000000</v>
      </c>
      <c r="H462" s="768">
        <v>0</v>
      </c>
      <c r="I462" s="768">
        <v>45000000</v>
      </c>
    </row>
    <row r="463" spans="2:9" x14ac:dyDescent="0.2">
      <c r="B463" s="274">
        <v>3</v>
      </c>
      <c r="C463" s="826" t="s">
        <v>2376</v>
      </c>
      <c r="D463" s="273" t="s">
        <v>2377</v>
      </c>
      <c r="E463" s="768">
        <v>200400000</v>
      </c>
      <c r="F463" s="768">
        <v>0</v>
      </c>
      <c r="G463" s="768">
        <v>200400000</v>
      </c>
      <c r="H463" s="768">
        <v>0</v>
      </c>
      <c r="I463" s="768">
        <v>200400000</v>
      </c>
    </row>
    <row r="464" spans="2:9" x14ac:dyDescent="0.2">
      <c r="B464" s="274">
        <v>3</v>
      </c>
      <c r="C464" s="826" t="s">
        <v>2378</v>
      </c>
      <c r="D464" s="273" t="s">
        <v>2379</v>
      </c>
      <c r="E464" s="768">
        <v>30000000</v>
      </c>
      <c r="F464" s="768">
        <v>0</v>
      </c>
      <c r="G464" s="768">
        <v>30000000</v>
      </c>
      <c r="H464" s="768">
        <v>0</v>
      </c>
      <c r="I464" s="768">
        <v>30000000</v>
      </c>
    </row>
    <row r="465" spans="2:9" x14ac:dyDescent="0.2">
      <c r="B465" s="274">
        <v>3</v>
      </c>
      <c r="C465" s="826" t="s">
        <v>2380</v>
      </c>
      <c r="D465" s="273" t="s">
        <v>3650</v>
      </c>
      <c r="E465" s="768">
        <v>80000000</v>
      </c>
      <c r="F465" s="768">
        <v>0</v>
      </c>
      <c r="G465" s="768">
        <v>80000000</v>
      </c>
      <c r="H465" s="768">
        <v>0</v>
      </c>
      <c r="I465" s="768">
        <v>80000000</v>
      </c>
    </row>
    <row r="466" spans="2:9" x14ac:dyDescent="0.2">
      <c r="B466" s="274">
        <v>3</v>
      </c>
      <c r="C466" s="826" t="s">
        <v>1797</v>
      </c>
      <c r="D466" s="273" t="s">
        <v>3651</v>
      </c>
      <c r="E466" s="768">
        <v>150000000</v>
      </c>
      <c r="F466" s="768">
        <v>0</v>
      </c>
      <c r="G466" s="768">
        <v>150000000</v>
      </c>
      <c r="H466" s="768">
        <v>0</v>
      </c>
      <c r="I466" s="768">
        <v>150000000</v>
      </c>
    </row>
    <row r="467" spans="2:9" x14ac:dyDescent="0.2">
      <c r="B467" s="274">
        <v>3</v>
      </c>
      <c r="C467" s="826" t="s">
        <v>2381</v>
      </c>
      <c r="D467" s="273" t="s">
        <v>3061</v>
      </c>
      <c r="E467" s="768">
        <v>150000000</v>
      </c>
      <c r="F467" s="768">
        <v>0</v>
      </c>
      <c r="G467" s="768">
        <v>150000000</v>
      </c>
      <c r="H467" s="768">
        <v>0</v>
      </c>
      <c r="I467" s="768">
        <v>150000000</v>
      </c>
    </row>
    <row r="468" spans="2:9" x14ac:dyDescent="0.2">
      <c r="B468" s="274">
        <v>3</v>
      </c>
      <c r="C468" s="826" t="s">
        <v>3652</v>
      </c>
      <c r="D468" s="273" t="s">
        <v>3653</v>
      </c>
      <c r="E468" s="768">
        <v>100000000</v>
      </c>
      <c r="F468" s="768">
        <v>-97833839.519999996</v>
      </c>
      <c r="G468" s="768">
        <v>2166160.48</v>
      </c>
      <c r="H468" s="768">
        <v>0</v>
      </c>
      <c r="I468" s="768">
        <v>2166160.48</v>
      </c>
    </row>
    <row r="469" spans="2:9" x14ac:dyDescent="0.2">
      <c r="B469" s="274">
        <v>3</v>
      </c>
      <c r="C469" s="826" t="s">
        <v>3654</v>
      </c>
      <c r="D469" s="273" t="s">
        <v>3655</v>
      </c>
      <c r="E469" s="768">
        <v>415304692</v>
      </c>
      <c r="F469" s="768">
        <v>384646045.00999999</v>
      </c>
      <c r="G469" s="768">
        <v>799950737.00999999</v>
      </c>
      <c r="H469" s="768">
        <v>0</v>
      </c>
      <c r="I469" s="768">
        <v>799950737.00999999</v>
      </c>
    </row>
    <row r="470" spans="2:9" x14ac:dyDescent="0.2">
      <c r="B470" s="274">
        <v>3</v>
      </c>
      <c r="C470" s="826" t="s">
        <v>3656</v>
      </c>
      <c r="D470" s="273" t="s">
        <v>3657</v>
      </c>
      <c r="E470" s="768">
        <v>150000000</v>
      </c>
      <c r="F470" s="768">
        <v>0</v>
      </c>
      <c r="G470" s="768">
        <v>150000000</v>
      </c>
      <c r="H470" s="768">
        <v>0</v>
      </c>
      <c r="I470" s="768">
        <v>150000000</v>
      </c>
    </row>
    <row r="471" spans="2:9" x14ac:dyDescent="0.2">
      <c r="B471" s="274">
        <v>3</v>
      </c>
      <c r="C471" s="826" t="s">
        <v>2382</v>
      </c>
      <c r="D471" s="273" t="s">
        <v>2383</v>
      </c>
      <c r="E471" s="768">
        <v>45000000</v>
      </c>
      <c r="F471" s="768">
        <v>0</v>
      </c>
      <c r="G471" s="768">
        <v>45000000</v>
      </c>
      <c r="H471" s="768">
        <v>0</v>
      </c>
      <c r="I471" s="768">
        <v>45000000</v>
      </c>
    </row>
    <row r="472" spans="2:9" x14ac:dyDescent="0.2">
      <c r="B472" s="274">
        <v>3</v>
      </c>
      <c r="C472" s="826" t="s">
        <v>2384</v>
      </c>
      <c r="D472" s="273" t="s">
        <v>3658</v>
      </c>
      <c r="E472" s="768">
        <v>350000000</v>
      </c>
      <c r="F472" s="768">
        <v>939000000</v>
      </c>
      <c r="G472" s="768">
        <v>1289000000</v>
      </c>
      <c r="H472" s="768">
        <v>0</v>
      </c>
      <c r="I472" s="768">
        <v>1289000000</v>
      </c>
    </row>
    <row r="473" spans="2:9" x14ac:dyDescent="0.2">
      <c r="B473" s="274">
        <v>3</v>
      </c>
      <c r="C473" s="826" t="s">
        <v>2385</v>
      </c>
      <c r="D473" s="273" t="s">
        <v>2386</v>
      </c>
      <c r="E473" s="768">
        <v>1746408799</v>
      </c>
      <c r="F473" s="768">
        <v>-491177589.01999998</v>
      </c>
      <c r="G473" s="768">
        <v>1255231209.98</v>
      </c>
      <c r="H473" s="768">
        <v>0</v>
      </c>
      <c r="I473" s="768">
        <v>1255231209.98</v>
      </c>
    </row>
    <row r="474" spans="2:9" x14ac:dyDescent="0.2">
      <c r="B474" s="274">
        <v>3</v>
      </c>
      <c r="C474" s="826" t="s">
        <v>2387</v>
      </c>
      <c r="D474" s="273" t="s">
        <v>2388</v>
      </c>
      <c r="E474" s="768">
        <v>0</v>
      </c>
      <c r="F474" s="768">
        <v>166757.73000000001</v>
      </c>
      <c r="G474" s="768">
        <v>166757.73000000001</v>
      </c>
      <c r="H474" s="768">
        <v>0</v>
      </c>
      <c r="I474" s="768">
        <v>166757.73000000001</v>
      </c>
    </row>
    <row r="475" spans="2:9" x14ac:dyDescent="0.2">
      <c r="B475" s="274">
        <v>3</v>
      </c>
      <c r="C475" s="826" t="s">
        <v>3659</v>
      </c>
      <c r="D475" s="273" t="s">
        <v>3660</v>
      </c>
      <c r="E475" s="768">
        <v>70000000</v>
      </c>
      <c r="F475" s="768">
        <v>54696444.600000001</v>
      </c>
      <c r="G475" s="768">
        <v>124696444.59999999</v>
      </c>
      <c r="H475" s="768">
        <v>0</v>
      </c>
      <c r="I475" s="768">
        <v>124696444.59999999</v>
      </c>
    </row>
    <row r="476" spans="2:9" x14ac:dyDescent="0.2">
      <c r="B476" s="274">
        <v>3</v>
      </c>
      <c r="C476" s="826" t="s">
        <v>3661</v>
      </c>
      <c r="D476" s="273" t="s">
        <v>3662</v>
      </c>
      <c r="E476" s="768">
        <v>518688848.56999999</v>
      </c>
      <c r="F476" s="768">
        <v>0</v>
      </c>
      <c r="G476" s="768">
        <v>518688848.56999999</v>
      </c>
      <c r="H476" s="768">
        <v>0</v>
      </c>
      <c r="I476" s="768">
        <v>518688848.56999999</v>
      </c>
    </row>
    <row r="477" spans="2:9" x14ac:dyDescent="0.2">
      <c r="B477" s="274">
        <v>3</v>
      </c>
      <c r="C477" s="826" t="s">
        <v>2389</v>
      </c>
      <c r="D477" s="273" t="s">
        <v>2390</v>
      </c>
      <c r="E477" s="768">
        <v>91575000</v>
      </c>
      <c r="F477" s="768">
        <v>141075</v>
      </c>
      <c r="G477" s="768">
        <v>91716075</v>
      </c>
      <c r="H477" s="768">
        <v>0</v>
      </c>
      <c r="I477" s="768">
        <v>91716075</v>
      </c>
    </row>
    <row r="478" spans="2:9" x14ac:dyDescent="0.2">
      <c r="B478" s="274">
        <v>3</v>
      </c>
      <c r="C478" s="826" t="s">
        <v>3062</v>
      </c>
      <c r="D478" s="273" t="s">
        <v>3063</v>
      </c>
      <c r="E478" s="768">
        <v>88200000</v>
      </c>
      <c r="F478" s="768">
        <v>0</v>
      </c>
      <c r="G478" s="768">
        <v>88200000</v>
      </c>
      <c r="H478" s="768">
        <v>0</v>
      </c>
      <c r="I478" s="768">
        <v>88200000</v>
      </c>
    </row>
    <row r="479" spans="2:9" x14ac:dyDescent="0.2">
      <c r="B479" s="274">
        <v>3</v>
      </c>
      <c r="C479" s="826" t="s">
        <v>3064</v>
      </c>
      <c r="D479" s="273" t="s">
        <v>3663</v>
      </c>
      <c r="E479" s="768">
        <v>60000000</v>
      </c>
      <c r="F479" s="768">
        <v>0</v>
      </c>
      <c r="G479" s="768">
        <v>60000000</v>
      </c>
      <c r="H479" s="768">
        <v>0</v>
      </c>
      <c r="I479" s="768">
        <v>60000000</v>
      </c>
    </row>
    <row r="480" spans="2:9" x14ac:dyDescent="0.2">
      <c r="B480" s="274">
        <v>3</v>
      </c>
      <c r="C480" s="826" t="s">
        <v>1735</v>
      </c>
      <c r="D480" s="273" t="s">
        <v>1736</v>
      </c>
      <c r="E480" s="768">
        <v>15000000</v>
      </c>
      <c r="F480" s="768">
        <v>0</v>
      </c>
      <c r="G480" s="768">
        <v>15000000</v>
      </c>
      <c r="H480" s="768">
        <v>0</v>
      </c>
      <c r="I480" s="768">
        <v>15000000</v>
      </c>
    </row>
    <row r="481" spans="2:9" x14ac:dyDescent="0.2">
      <c r="B481" s="274">
        <v>3</v>
      </c>
      <c r="C481" s="826" t="s">
        <v>2391</v>
      </c>
      <c r="D481" s="273" t="s">
        <v>2392</v>
      </c>
      <c r="E481" s="768">
        <v>111650000</v>
      </c>
      <c r="F481" s="768">
        <v>97920054.519999996</v>
      </c>
      <c r="G481" s="768">
        <v>209570054.52000001</v>
      </c>
      <c r="H481" s="768">
        <v>0</v>
      </c>
      <c r="I481" s="768">
        <v>209570054.52000001</v>
      </c>
    </row>
    <row r="482" spans="2:9" x14ac:dyDescent="0.2">
      <c r="B482" s="274">
        <v>3</v>
      </c>
      <c r="C482" s="826" t="s">
        <v>3065</v>
      </c>
      <c r="D482" s="273" t="s">
        <v>3066</v>
      </c>
      <c r="E482" s="768">
        <v>100000000</v>
      </c>
      <c r="F482" s="768">
        <v>-100000000</v>
      </c>
      <c r="G482" s="768">
        <v>0</v>
      </c>
      <c r="H482" s="768">
        <v>0</v>
      </c>
      <c r="I482" s="768">
        <v>0</v>
      </c>
    </row>
    <row r="483" spans="2:9" x14ac:dyDescent="0.2">
      <c r="B483" s="274">
        <v>3</v>
      </c>
      <c r="C483" s="826" t="s">
        <v>1737</v>
      </c>
      <c r="D483" s="273" t="s">
        <v>3067</v>
      </c>
      <c r="E483" s="768">
        <v>100000000</v>
      </c>
      <c r="F483" s="768">
        <v>0</v>
      </c>
      <c r="G483" s="768">
        <v>100000000</v>
      </c>
      <c r="H483" s="768">
        <v>0</v>
      </c>
      <c r="I483" s="768">
        <v>100000000</v>
      </c>
    </row>
    <row r="484" spans="2:9" x14ac:dyDescent="0.2">
      <c r="B484" s="274">
        <v>3</v>
      </c>
      <c r="C484" s="826" t="s">
        <v>2393</v>
      </c>
      <c r="D484" s="273" t="s">
        <v>2394</v>
      </c>
      <c r="E484" s="768">
        <v>21175000</v>
      </c>
      <c r="F484" s="768">
        <v>-21175000</v>
      </c>
      <c r="G484" s="768">
        <v>0</v>
      </c>
      <c r="H484" s="768">
        <v>0</v>
      </c>
      <c r="I484" s="768">
        <v>0</v>
      </c>
    </row>
    <row r="485" spans="2:9" x14ac:dyDescent="0.2">
      <c r="B485" s="274">
        <v>3</v>
      </c>
      <c r="C485" s="826" t="s">
        <v>2395</v>
      </c>
      <c r="D485" s="273" t="s">
        <v>2396</v>
      </c>
      <c r="E485" s="768">
        <v>95066655</v>
      </c>
      <c r="F485" s="768">
        <v>0</v>
      </c>
      <c r="G485" s="768">
        <v>95066655</v>
      </c>
      <c r="H485" s="768">
        <v>0</v>
      </c>
      <c r="I485" s="768">
        <v>95066655</v>
      </c>
    </row>
    <row r="486" spans="2:9" x14ac:dyDescent="0.2">
      <c r="B486" s="274">
        <v>3</v>
      </c>
      <c r="C486" s="826" t="s">
        <v>3068</v>
      </c>
      <c r="D486" s="273" t="s">
        <v>3069</v>
      </c>
      <c r="E486" s="768">
        <v>65000000</v>
      </c>
      <c r="F486" s="768">
        <v>0</v>
      </c>
      <c r="G486" s="768">
        <v>65000000</v>
      </c>
      <c r="H486" s="768">
        <v>0</v>
      </c>
      <c r="I486" s="768">
        <v>65000000</v>
      </c>
    </row>
    <row r="487" spans="2:9" x14ac:dyDescent="0.2">
      <c r="B487" s="274">
        <v>3</v>
      </c>
      <c r="C487" s="826" t="s">
        <v>3070</v>
      </c>
      <c r="D487" s="273" t="s">
        <v>3071</v>
      </c>
      <c r="E487" s="768">
        <v>1493312800</v>
      </c>
      <c r="F487" s="768">
        <v>-1493312800</v>
      </c>
      <c r="G487" s="768">
        <v>0</v>
      </c>
      <c r="H487" s="768">
        <v>0</v>
      </c>
      <c r="I487" s="768">
        <v>0</v>
      </c>
    </row>
    <row r="488" spans="2:9" x14ac:dyDescent="0.2">
      <c r="B488" s="274">
        <v>3</v>
      </c>
      <c r="C488" s="826" t="s">
        <v>3072</v>
      </c>
      <c r="D488" s="273" t="s">
        <v>3073</v>
      </c>
      <c r="E488" s="768">
        <v>920000000</v>
      </c>
      <c r="F488" s="768">
        <v>0</v>
      </c>
      <c r="G488" s="768">
        <v>920000000</v>
      </c>
      <c r="H488" s="768">
        <v>0</v>
      </c>
      <c r="I488" s="768">
        <v>920000000</v>
      </c>
    </row>
    <row r="489" spans="2:9" x14ac:dyDescent="0.2">
      <c r="B489" s="274">
        <v>3</v>
      </c>
      <c r="C489" s="826" t="s">
        <v>3074</v>
      </c>
      <c r="D489" s="273" t="s">
        <v>3075</v>
      </c>
      <c r="E489" s="768">
        <v>100000000</v>
      </c>
      <c r="F489" s="768">
        <v>-100000000</v>
      </c>
      <c r="G489" s="768">
        <v>0</v>
      </c>
      <c r="H489" s="768">
        <v>0</v>
      </c>
      <c r="I489" s="768">
        <v>0</v>
      </c>
    </row>
    <row r="490" spans="2:9" x14ac:dyDescent="0.2">
      <c r="B490" s="274">
        <v>3</v>
      </c>
      <c r="C490" s="826" t="s">
        <v>3076</v>
      </c>
      <c r="D490" s="273" t="s">
        <v>3077</v>
      </c>
      <c r="E490" s="768">
        <v>1225771854</v>
      </c>
      <c r="F490" s="768">
        <v>774228146.22000003</v>
      </c>
      <c r="G490" s="768">
        <v>2000000000.22</v>
      </c>
      <c r="H490" s="768">
        <v>0</v>
      </c>
      <c r="I490" s="768">
        <v>2000000000.22</v>
      </c>
    </row>
    <row r="491" spans="2:9" x14ac:dyDescent="0.2">
      <c r="B491" s="274">
        <v>3</v>
      </c>
      <c r="C491" s="826" t="s">
        <v>3664</v>
      </c>
      <c r="D491" s="273" t="s">
        <v>3665</v>
      </c>
      <c r="E491" s="768">
        <v>20000000</v>
      </c>
      <c r="F491" s="768">
        <v>0</v>
      </c>
      <c r="G491" s="768">
        <v>20000000</v>
      </c>
      <c r="H491" s="768">
        <v>0</v>
      </c>
      <c r="I491" s="768">
        <v>20000000</v>
      </c>
    </row>
    <row r="492" spans="2:9" x14ac:dyDescent="0.2">
      <c r="B492" s="274">
        <v>3</v>
      </c>
      <c r="C492" s="826" t="s">
        <v>3666</v>
      </c>
      <c r="D492" s="273" t="s">
        <v>3667</v>
      </c>
      <c r="E492" s="768">
        <v>20000000</v>
      </c>
      <c r="F492" s="768">
        <v>0</v>
      </c>
      <c r="G492" s="768">
        <v>20000000</v>
      </c>
      <c r="H492" s="768">
        <v>0</v>
      </c>
      <c r="I492" s="768">
        <v>20000000</v>
      </c>
    </row>
    <row r="493" spans="2:9" x14ac:dyDescent="0.2">
      <c r="B493" s="274">
        <v>3</v>
      </c>
      <c r="C493" s="826" t="s">
        <v>3668</v>
      </c>
      <c r="D493" s="273" t="s">
        <v>3669</v>
      </c>
      <c r="E493" s="768">
        <v>750000000</v>
      </c>
      <c r="F493" s="768">
        <v>0</v>
      </c>
      <c r="G493" s="768">
        <v>750000000</v>
      </c>
      <c r="H493" s="768">
        <v>0</v>
      </c>
      <c r="I493" s="768">
        <v>750000000</v>
      </c>
    </row>
    <row r="494" spans="2:9" x14ac:dyDescent="0.2">
      <c r="B494" s="274">
        <v>3</v>
      </c>
      <c r="C494" s="826" t="s">
        <v>3078</v>
      </c>
      <c r="D494" s="273" t="s">
        <v>3079</v>
      </c>
      <c r="E494" s="768">
        <v>200000000</v>
      </c>
      <c r="F494" s="768">
        <v>-200000000</v>
      </c>
      <c r="G494" s="768">
        <v>0</v>
      </c>
      <c r="H494" s="768">
        <v>0</v>
      </c>
      <c r="I494" s="768">
        <v>0</v>
      </c>
    </row>
    <row r="495" spans="2:9" x14ac:dyDescent="0.2">
      <c r="B495" s="274">
        <v>3</v>
      </c>
      <c r="C495" s="826" t="s">
        <v>3670</v>
      </c>
      <c r="D495" s="273" t="s">
        <v>3671</v>
      </c>
      <c r="E495" s="768">
        <v>15000000</v>
      </c>
      <c r="F495" s="768">
        <v>0</v>
      </c>
      <c r="G495" s="768">
        <v>15000000</v>
      </c>
      <c r="H495" s="768">
        <v>0</v>
      </c>
      <c r="I495" s="768">
        <v>15000000</v>
      </c>
    </row>
    <row r="496" spans="2:9" x14ac:dyDescent="0.2">
      <c r="B496" s="274">
        <v>3</v>
      </c>
      <c r="C496" s="826" t="s">
        <v>3672</v>
      </c>
      <c r="D496" s="273" t="s">
        <v>3673</v>
      </c>
      <c r="E496" s="768">
        <v>15000000</v>
      </c>
      <c r="F496" s="768">
        <v>0</v>
      </c>
      <c r="G496" s="768">
        <v>15000000</v>
      </c>
      <c r="H496" s="768">
        <v>0</v>
      </c>
      <c r="I496" s="768">
        <v>15000000</v>
      </c>
    </row>
    <row r="497" spans="2:9" x14ac:dyDescent="0.2">
      <c r="B497" s="274">
        <v>3</v>
      </c>
      <c r="C497" s="826" t="s">
        <v>1615</v>
      </c>
      <c r="D497" s="273" t="s">
        <v>1616</v>
      </c>
      <c r="E497" s="768">
        <v>0</v>
      </c>
      <c r="F497" s="768">
        <v>-60000000</v>
      </c>
      <c r="G497" s="768">
        <v>-60000000</v>
      </c>
      <c r="H497" s="768">
        <v>0</v>
      </c>
      <c r="I497" s="768">
        <v>-60000000</v>
      </c>
    </row>
    <row r="498" spans="2:9" x14ac:dyDescent="0.2">
      <c r="B498" s="274">
        <v>3</v>
      </c>
      <c r="C498" s="826" t="s">
        <v>3674</v>
      </c>
      <c r="D498" s="273" t="s">
        <v>3675</v>
      </c>
      <c r="E498" s="768">
        <v>10000000</v>
      </c>
      <c r="F498" s="768">
        <v>0</v>
      </c>
      <c r="G498" s="768">
        <v>10000000</v>
      </c>
      <c r="H498" s="768">
        <v>0</v>
      </c>
      <c r="I498" s="768">
        <v>10000000</v>
      </c>
    </row>
    <row r="499" spans="2:9" x14ac:dyDescent="0.2">
      <c r="B499" s="274">
        <v>3</v>
      </c>
      <c r="C499" s="826" t="s">
        <v>3080</v>
      </c>
      <c r="D499" s="273" t="s">
        <v>3081</v>
      </c>
      <c r="E499" s="768">
        <v>250700000</v>
      </c>
      <c r="F499" s="768">
        <v>106745760</v>
      </c>
      <c r="G499" s="768">
        <v>357445760</v>
      </c>
      <c r="H499" s="768">
        <v>0</v>
      </c>
      <c r="I499" s="768">
        <v>357445760</v>
      </c>
    </row>
    <row r="500" spans="2:9" x14ac:dyDescent="0.2">
      <c r="B500" s="274">
        <v>3</v>
      </c>
      <c r="C500" s="826" t="s">
        <v>3676</v>
      </c>
      <c r="D500" s="273" t="s">
        <v>3677</v>
      </c>
      <c r="E500" s="768">
        <v>330000000</v>
      </c>
      <c r="F500" s="768">
        <v>0</v>
      </c>
      <c r="G500" s="768">
        <v>330000000</v>
      </c>
      <c r="H500" s="768">
        <v>0</v>
      </c>
      <c r="I500" s="768">
        <v>330000000</v>
      </c>
    </row>
    <row r="501" spans="2:9" x14ac:dyDescent="0.2">
      <c r="B501" s="274">
        <v>3</v>
      </c>
      <c r="C501" s="826" t="s">
        <v>3678</v>
      </c>
      <c r="D501" s="273" t="s">
        <v>3679</v>
      </c>
      <c r="E501" s="768">
        <v>63000000</v>
      </c>
      <c r="F501" s="768">
        <v>0</v>
      </c>
      <c r="G501" s="768">
        <v>63000000</v>
      </c>
      <c r="H501" s="768">
        <v>0</v>
      </c>
      <c r="I501" s="768">
        <v>63000000</v>
      </c>
    </row>
    <row r="502" spans="2:9" x14ac:dyDescent="0.2">
      <c r="B502" s="274">
        <v>3</v>
      </c>
      <c r="C502" s="826" t="s">
        <v>3680</v>
      </c>
      <c r="D502" s="273" t="s">
        <v>3681</v>
      </c>
      <c r="E502" s="768">
        <v>245000000</v>
      </c>
      <c r="F502" s="768">
        <v>0</v>
      </c>
      <c r="G502" s="768">
        <v>245000000</v>
      </c>
      <c r="H502" s="768">
        <v>0</v>
      </c>
      <c r="I502" s="768">
        <v>245000000</v>
      </c>
    </row>
    <row r="503" spans="2:9" x14ac:dyDescent="0.2">
      <c r="B503" s="274">
        <v>3</v>
      </c>
      <c r="C503" s="826" t="s">
        <v>3682</v>
      </c>
      <c r="D503" s="273" t="s">
        <v>3683</v>
      </c>
      <c r="E503" s="768">
        <v>160000000</v>
      </c>
      <c r="F503" s="768">
        <v>0</v>
      </c>
      <c r="G503" s="768">
        <v>160000000</v>
      </c>
      <c r="H503" s="768">
        <v>0</v>
      </c>
      <c r="I503" s="768">
        <v>160000000</v>
      </c>
    </row>
    <row r="504" spans="2:9" x14ac:dyDescent="0.2">
      <c r="B504" s="274">
        <v>3</v>
      </c>
      <c r="C504" s="826" t="s">
        <v>3684</v>
      </c>
      <c r="D504" s="273" t="s">
        <v>3685</v>
      </c>
      <c r="E504" s="768">
        <v>172000000</v>
      </c>
      <c r="F504" s="768">
        <v>0</v>
      </c>
      <c r="G504" s="768">
        <v>172000000</v>
      </c>
      <c r="H504" s="768">
        <v>0</v>
      </c>
      <c r="I504" s="768">
        <v>172000000</v>
      </c>
    </row>
    <row r="505" spans="2:9" x14ac:dyDescent="0.2">
      <c r="B505" s="274">
        <v>3</v>
      </c>
      <c r="C505" s="826" t="s">
        <v>3686</v>
      </c>
      <c r="D505" s="273" t="s">
        <v>3687</v>
      </c>
      <c r="E505" s="768">
        <v>720000000</v>
      </c>
      <c r="F505" s="768">
        <v>0</v>
      </c>
      <c r="G505" s="768">
        <v>720000000</v>
      </c>
      <c r="H505" s="768">
        <v>0</v>
      </c>
      <c r="I505" s="768">
        <v>720000000</v>
      </c>
    </row>
    <row r="506" spans="2:9" x14ac:dyDescent="0.2">
      <c r="B506" s="274">
        <v>3</v>
      </c>
      <c r="C506" s="826" t="s">
        <v>3688</v>
      </c>
      <c r="D506" s="273" t="s">
        <v>3689</v>
      </c>
      <c r="E506" s="768">
        <v>20000000</v>
      </c>
      <c r="F506" s="768">
        <v>0</v>
      </c>
      <c r="G506" s="768">
        <v>20000000</v>
      </c>
      <c r="H506" s="768">
        <v>0</v>
      </c>
      <c r="I506" s="768">
        <v>20000000</v>
      </c>
    </row>
    <row r="507" spans="2:9" x14ac:dyDescent="0.2">
      <c r="B507" s="274">
        <v>3</v>
      </c>
      <c r="C507" s="826" t="s">
        <v>3690</v>
      </c>
      <c r="D507" s="273" t="s">
        <v>3691</v>
      </c>
      <c r="E507" s="768">
        <v>0</v>
      </c>
      <c r="F507" s="768">
        <v>0</v>
      </c>
      <c r="G507" s="768">
        <v>0</v>
      </c>
      <c r="H507" s="768">
        <v>0</v>
      </c>
      <c r="I507" s="768">
        <v>0</v>
      </c>
    </row>
    <row r="508" spans="2:9" x14ac:dyDescent="0.2">
      <c r="B508" s="274">
        <v>3</v>
      </c>
      <c r="C508" s="826" t="s">
        <v>3692</v>
      </c>
      <c r="D508" s="273" t="s">
        <v>3693</v>
      </c>
      <c r="E508" s="768">
        <v>0</v>
      </c>
      <c r="F508" s="768">
        <v>79160</v>
      </c>
      <c r="G508" s="768">
        <v>79160</v>
      </c>
      <c r="H508" s="768">
        <v>0</v>
      </c>
      <c r="I508" s="768">
        <v>79160</v>
      </c>
    </row>
    <row r="509" spans="2:9" x14ac:dyDescent="0.2">
      <c r="B509" s="274">
        <v>3</v>
      </c>
      <c r="C509" s="826" t="s">
        <v>1738</v>
      </c>
      <c r="D509" s="273" t="s">
        <v>3694</v>
      </c>
      <c r="E509" s="768">
        <v>155000000</v>
      </c>
      <c r="F509" s="768">
        <v>-90503006.810000002</v>
      </c>
      <c r="G509" s="768">
        <v>64496993.189999998</v>
      </c>
      <c r="H509" s="768">
        <v>0</v>
      </c>
      <c r="I509" s="768">
        <v>64496993.189999998</v>
      </c>
    </row>
    <row r="510" spans="2:9" x14ac:dyDescent="0.2">
      <c r="B510" s="274">
        <v>3</v>
      </c>
      <c r="C510" s="826" t="s">
        <v>1739</v>
      </c>
      <c r="D510" s="273" t="s">
        <v>1740</v>
      </c>
      <c r="E510" s="768">
        <v>100000000</v>
      </c>
      <c r="F510" s="768">
        <v>0</v>
      </c>
      <c r="G510" s="768">
        <v>100000000</v>
      </c>
      <c r="H510" s="768">
        <v>0</v>
      </c>
      <c r="I510" s="768">
        <v>100000000</v>
      </c>
    </row>
    <row r="511" spans="2:9" x14ac:dyDescent="0.2">
      <c r="B511" s="274">
        <v>3</v>
      </c>
      <c r="C511" s="826" t="s">
        <v>3082</v>
      </c>
      <c r="D511" s="273" t="s">
        <v>3083</v>
      </c>
      <c r="E511" s="768">
        <v>60017200</v>
      </c>
      <c r="F511" s="768">
        <v>0</v>
      </c>
      <c r="G511" s="768">
        <v>60017200</v>
      </c>
      <c r="H511" s="768">
        <v>0</v>
      </c>
      <c r="I511" s="768">
        <v>60017200</v>
      </c>
    </row>
    <row r="512" spans="2:9" x14ac:dyDescent="0.2">
      <c r="B512" s="274">
        <v>3</v>
      </c>
      <c r="C512" s="826" t="s">
        <v>3695</v>
      </c>
      <c r="D512" s="273" t="s">
        <v>3696</v>
      </c>
      <c r="E512" s="768">
        <v>0</v>
      </c>
      <c r="F512" s="768">
        <v>0</v>
      </c>
      <c r="G512" s="768">
        <v>0</v>
      </c>
      <c r="H512" s="768">
        <v>0</v>
      </c>
      <c r="I512" s="768">
        <v>0</v>
      </c>
    </row>
    <row r="513" spans="2:9" x14ac:dyDescent="0.2">
      <c r="B513" s="274">
        <v>3</v>
      </c>
      <c r="C513" s="826" t="s">
        <v>2397</v>
      </c>
      <c r="D513" s="273" t="s">
        <v>2398</v>
      </c>
      <c r="E513" s="768">
        <v>430000000</v>
      </c>
      <c r="F513" s="768">
        <v>0</v>
      </c>
      <c r="G513" s="768">
        <v>430000000</v>
      </c>
      <c r="H513" s="768">
        <v>0</v>
      </c>
      <c r="I513" s="768">
        <v>430000000</v>
      </c>
    </row>
    <row r="514" spans="2:9" x14ac:dyDescent="0.2">
      <c r="B514" s="274">
        <v>3</v>
      </c>
      <c r="C514" s="826" t="s">
        <v>1741</v>
      </c>
      <c r="D514" s="273" t="s">
        <v>1742</v>
      </c>
      <c r="E514" s="768">
        <v>925000000</v>
      </c>
      <c r="F514" s="768">
        <v>0</v>
      </c>
      <c r="G514" s="768">
        <v>925000000</v>
      </c>
      <c r="H514" s="768">
        <v>0</v>
      </c>
      <c r="I514" s="768">
        <v>925000000</v>
      </c>
    </row>
    <row r="515" spans="2:9" x14ac:dyDescent="0.2">
      <c r="B515" s="274">
        <v>3</v>
      </c>
      <c r="C515" s="826" t="s">
        <v>2399</v>
      </c>
      <c r="D515" s="273" t="s">
        <v>2400</v>
      </c>
      <c r="E515" s="768">
        <v>0</v>
      </c>
      <c r="F515" s="768">
        <v>0</v>
      </c>
      <c r="G515" s="768">
        <v>0</v>
      </c>
      <c r="H515" s="768">
        <v>15522461</v>
      </c>
      <c r="I515" s="768">
        <v>-15522461</v>
      </c>
    </row>
    <row r="516" spans="2:9" x14ac:dyDescent="0.2">
      <c r="B516" s="274">
        <v>3</v>
      </c>
      <c r="C516" s="826" t="s">
        <v>2401</v>
      </c>
      <c r="D516" s="273" t="s">
        <v>2402</v>
      </c>
      <c r="E516" s="768">
        <v>310000000</v>
      </c>
      <c r="F516" s="768">
        <v>236852000</v>
      </c>
      <c r="G516" s="768">
        <v>546852000</v>
      </c>
      <c r="H516" s="768">
        <v>0</v>
      </c>
      <c r="I516" s="768">
        <v>546852000</v>
      </c>
    </row>
    <row r="517" spans="2:9" x14ac:dyDescent="0.2">
      <c r="B517" s="274">
        <v>3</v>
      </c>
      <c r="C517" s="826" t="s">
        <v>3697</v>
      </c>
      <c r="D517" s="273" t="s">
        <v>3698</v>
      </c>
      <c r="E517" s="768">
        <v>0</v>
      </c>
      <c r="F517" s="768">
        <v>60000000</v>
      </c>
      <c r="G517" s="768">
        <v>60000000</v>
      </c>
      <c r="H517" s="768">
        <v>0</v>
      </c>
      <c r="I517" s="768">
        <v>60000000</v>
      </c>
    </row>
    <row r="518" spans="2:9" x14ac:dyDescent="0.2">
      <c r="B518" s="274">
        <v>3</v>
      </c>
      <c r="C518" s="826" t="s">
        <v>1617</v>
      </c>
      <c r="D518" s="273" t="s">
        <v>1618</v>
      </c>
      <c r="E518" s="768">
        <v>9600000000</v>
      </c>
      <c r="F518" s="768">
        <v>0</v>
      </c>
      <c r="G518" s="768">
        <v>9600000000</v>
      </c>
      <c r="H518" s="768">
        <v>1425295188.4200001</v>
      </c>
      <c r="I518" s="768">
        <v>8174704811.5799999</v>
      </c>
    </row>
    <row r="519" spans="2:9" x14ac:dyDescent="0.2">
      <c r="B519" s="274">
        <v>3</v>
      </c>
      <c r="C519" s="826" t="s">
        <v>936</v>
      </c>
      <c r="D519" s="273" t="s">
        <v>877</v>
      </c>
      <c r="E519" s="768">
        <v>980000000</v>
      </c>
      <c r="F519" s="768">
        <v>-473207.73</v>
      </c>
      <c r="G519" s="768">
        <v>979526792.26999998</v>
      </c>
      <c r="H519" s="768">
        <v>1624662191.0999999</v>
      </c>
      <c r="I519" s="768">
        <v>-645135398.83000004</v>
      </c>
    </row>
    <row r="521" spans="2:9" x14ac:dyDescent="0.2">
      <c r="B521" s="766">
        <v>4</v>
      </c>
      <c r="C521" s="824"/>
      <c r="D521" s="771" t="s">
        <v>3084</v>
      </c>
      <c r="E521" s="825">
        <v>20000000</v>
      </c>
      <c r="F521" s="825">
        <v>0</v>
      </c>
      <c r="G521" s="825">
        <v>20000000</v>
      </c>
      <c r="H521" s="825">
        <v>6456352.0999999996</v>
      </c>
      <c r="I521" s="825">
        <v>13543647.9</v>
      </c>
    </row>
    <row r="522" spans="2:9" x14ac:dyDescent="0.2">
      <c r="B522" s="766"/>
      <c r="C522" s="824"/>
      <c r="D522" s="771"/>
      <c r="E522" s="825"/>
      <c r="F522" s="825"/>
      <c r="G522" s="825"/>
      <c r="H522" s="825"/>
      <c r="I522" s="825"/>
    </row>
    <row r="523" spans="2:9" s="771" customFormat="1" x14ac:dyDescent="0.2">
      <c r="B523" s="766">
        <v>4</v>
      </c>
      <c r="C523" s="824" t="s">
        <v>1396</v>
      </c>
      <c r="D523" s="771" t="s">
        <v>1215</v>
      </c>
      <c r="E523" s="825">
        <v>3500000</v>
      </c>
      <c r="F523" s="825">
        <v>0</v>
      </c>
      <c r="G523" s="825">
        <v>3500000</v>
      </c>
      <c r="H523" s="825">
        <v>0</v>
      </c>
      <c r="I523" s="825">
        <v>3500000</v>
      </c>
    </row>
    <row r="524" spans="2:9" x14ac:dyDescent="0.2">
      <c r="B524" s="274">
        <v>4</v>
      </c>
      <c r="C524" s="826" t="s">
        <v>48</v>
      </c>
      <c r="D524" s="273" t="s">
        <v>1407</v>
      </c>
      <c r="E524" s="768">
        <v>3500000</v>
      </c>
      <c r="F524" s="768">
        <v>0</v>
      </c>
      <c r="G524" s="768">
        <v>3500000</v>
      </c>
      <c r="H524" s="768">
        <v>0</v>
      </c>
      <c r="I524" s="768">
        <v>3500000</v>
      </c>
    </row>
    <row r="526" spans="2:9" s="771" customFormat="1" x14ac:dyDescent="0.2">
      <c r="B526" s="766">
        <v>4</v>
      </c>
      <c r="C526" s="824" t="s">
        <v>537</v>
      </c>
      <c r="D526" s="771" t="s">
        <v>1062</v>
      </c>
      <c r="E526" s="825">
        <v>16500000</v>
      </c>
      <c r="F526" s="825">
        <v>0</v>
      </c>
      <c r="G526" s="825">
        <v>16500000</v>
      </c>
      <c r="H526" s="825">
        <v>6456352.0999999996</v>
      </c>
      <c r="I526" s="825">
        <v>10043647.9</v>
      </c>
    </row>
    <row r="527" spans="2:9" x14ac:dyDescent="0.2">
      <c r="B527" s="274">
        <v>4</v>
      </c>
      <c r="C527" s="826" t="s">
        <v>436</v>
      </c>
      <c r="D527" s="273" t="s">
        <v>1080</v>
      </c>
      <c r="E527" s="768">
        <v>16500000</v>
      </c>
      <c r="F527" s="768">
        <v>0</v>
      </c>
      <c r="G527" s="768">
        <v>16500000</v>
      </c>
      <c r="H527" s="768">
        <v>6456352.0999999996</v>
      </c>
      <c r="I527" s="768">
        <v>10043647.9</v>
      </c>
    </row>
    <row r="528" spans="2:9" x14ac:dyDescent="0.2">
      <c r="B528" s="274">
        <v>4</v>
      </c>
      <c r="C528" s="826" t="s">
        <v>441</v>
      </c>
      <c r="D528" s="273" t="s">
        <v>1085</v>
      </c>
      <c r="E528" s="768">
        <v>16500000</v>
      </c>
      <c r="F528" s="768">
        <v>0</v>
      </c>
      <c r="G528" s="768">
        <v>16500000</v>
      </c>
      <c r="H528" s="768">
        <v>6456352.0999999996</v>
      </c>
      <c r="I528" s="768">
        <v>10043647.9</v>
      </c>
    </row>
    <row r="530" spans="2:9" x14ac:dyDescent="0.2">
      <c r="B530" s="766">
        <v>5</v>
      </c>
      <c r="C530" s="824"/>
      <c r="D530" s="771" t="s">
        <v>1390</v>
      </c>
      <c r="E530" s="825">
        <v>13005861429.93</v>
      </c>
      <c r="F530" s="825">
        <v>0</v>
      </c>
      <c r="G530" s="825">
        <v>13005861429.93</v>
      </c>
      <c r="H530" s="825">
        <v>3209478447.9000001</v>
      </c>
      <c r="I530" s="825">
        <v>9796382982.0300007</v>
      </c>
    </row>
    <row r="531" spans="2:9" x14ac:dyDescent="0.2">
      <c r="B531" s="766"/>
      <c r="C531" s="824"/>
      <c r="D531" s="771"/>
      <c r="E531" s="825"/>
      <c r="F531" s="825"/>
      <c r="G531" s="825"/>
      <c r="H531" s="825"/>
      <c r="I531" s="825"/>
    </row>
    <row r="532" spans="2:9" s="771" customFormat="1" x14ac:dyDescent="0.2">
      <c r="B532" s="766">
        <v>5</v>
      </c>
      <c r="C532" s="824" t="s">
        <v>946</v>
      </c>
      <c r="D532" s="771" t="s">
        <v>557</v>
      </c>
      <c r="E532" s="825">
        <v>1415738669.9300001</v>
      </c>
      <c r="F532" s="825">
        <v>1818587.85</v>
      </c>
      <c r="G532" s="825">
        <v>1417557257.78</v>
      </c>
      <c r="H532" s="825">
        <v>85854160.980000004</v>
      </c>
      <c r="I532" s="825">
        <v>1331703096.8</v>
      </c>
    </row>
    <row r="533" spans="2:9" x14ac:dyDescent="0.2">
      <c r="B533" s="274">
        <v>5</v>
      </c>
      <c r="C533" s="826" t="s">
        <v>687</v>
      </c>
      <c r="D533" s="273" t="s">
        <v>878</v>
      </c>
      <c r="E533" s="768">
        <v>1415738669.9300001</v>
      </c>
      <c r="F533" s="768">
        <v>1818587.85</v>
      </c>
      <c r="G533" s="768">
        <v>1417557257.78</v>
      </c>
      <c r="H533" s="768">
        <v>85854160.980000004</v>
      </c>
      <c r="I533" s="768">
        <v>1331703096.8</v>
      </c>
    </row>
    <row r="534" spans="2:9" x14ac:dyDescent="0.2">
      <c r="B534" s="274">
        <v>5</v>
      </c>
      <c r="C534" s="826" t="s">
        <v>2403</v>
      </c>
      <c r="D534" s="273" t="s">
        <v>558</v>
      </c>
      <c r="E534" s="768">
        <v>0</v>
      </c>
      <c r="F534" s="768">
        <v>7124762.4000000004</v>
      </c>
      <c r="G534" s="768">
        <v>7124762.4000000004</v>
      </c>
      <c r="H534" s="768">
        <v>0</v>
      </c>
      <c r="I534" s="768">
        <v>7124762.4000000004</v>
      </c>
    </row>
    <row r="535" spans="2:9" x14ac:dyDescent="0.2">
      <c r="B535" s="274">
        <v>5</v>
      </c>
      <c r="C535" s="826" t="s">
        <v>2404</v>
      </c>
      <c r="D535" s="273" t="s">
        <v>2254</v>
      </c>
      <c r="E535" s="768">
        <v>0</v>
      </c>
      <c r="F535" s="768">
        <v>5106410.4000000004</v>
      </c>
      <c r="G535" s="768">
        <v>5106410.4000000004</v>
      </c>
      <c r="H535" s="768">
        <v>0</v>
      </c>
      <c r="I535" s="768">
        <v>5106410.4000000004</v>
      </c>
    </row>
    <row r="536" spans="2:9" x14ac:dyDescent="0.2">
      <c r="B536" s="274">
        <v>5</v>
      </c>
      <c r="C536" s="826" t="s">
        <v>2405</v>
      </c>
      <c r="D536" s="273" t="s">
        <v>1680</v>
      </c>
      <c r="E536" s="768">
        <v>0</v>
      </c>
      <c r="F536" s="768">
        <v>2018352</v>
      </c>
      <c r="G536" s="768">
        <v>2018352</v>
      </c>
      <c r="H536" s="768">
        <v>0</v>
      </c>
      <c r="I536" s="768">
        <v>2018352</v>
      </c>
    </row>
    <row r="537" spans="2:9" x14ac:dyDescent="0.2">
      <c r="B537" s="274">
        <v>5</v>
      </c>
      <c r="C537" s="826" t="s">
        <v>1538</v>
      </c>
      <c r="D537" s="273" t="s">
        <v>805</v>
      </c>
      <c r="E537" s="768">
        <v>0</v>
      </c>
      <c r="F537" s="768">
        <v>1424693797.45</v>
      </c>
      <c r="G537" s="768">
        <v>1424693797.45</v>
      </c>
      <c r="H537" s="768">
        <v>67448712.379999995</v>
      </c>
      <c r="I537" s="768">
        <v>1357245085.0699999</v>
      </c>
    </row>
    <row r="538" spans="2:9" x14ac:dyDescent="0.2">
      <c r="B538" s="274">
        <v>5</v>
      </c>
      <c r="C538" s="826" t="s">
        <v>1026</v>
      </c>
      <c r="D538" s="273" t="s">
        <v>1539</v>
      </c>
      <c r="E538" s="768">
        <v>0</v>
      </c>
      <c r="F538" s="768">
        <v>1388326401.45</v>
      </c>
      <c r="G538" s="768">
        <v>1388326401.45</v>
      </c>
      <c r="H538" s="768">
        <v>56182480.5</v>
      </c>
      <c r="I538" s="768">
        <v>1332143920.95</v>
      </c>
    </row>
    <row r="539" spans="2:9" x14ac:dyDescent="0.2">
      <c r="B539" s="274">
        <v>5</v>
      </c>
      <c r="C539" s="826" t="s">
        <v>3699</v>
      </c>
      <c r="D539" s="273" t="s">
        <v>3555</v>
      </c>
      <c r="E539" s="768">
        <v>0</v>
      </c>
      <c r="F539" s="768">
        <v>36367396</v>
      </c>
      <c r="G539" s="768">
        <v>36367396</v>
      </c>
      <c r="H539" s="768">
        <v>11266231.880000001</v>
      </c>
      <c r="I539" s="768">
        <v>25101164.120000001</v>
      </c>
    </row>
    <row r="540" spans="2:9" x14ac:dyDescent="0.2">
      <c r="B540" s="274">
        <v>5</v>
      </c>
      <c r="C540" s="826" t="s">
        <v>205</v>
      </c>
      <c r="D540" s="273" t="s">
        <v>580</v>
      </c>
      <c r="E540" s="768">
        <v>0</v>
      </c>
      <c r="F540" s="768">
        <v>48151627.030000001</v>
      </c>
      <c r="G540" s="768">
        <v>48151627.030000001</v>
      </c>
      <c r="H540" s="768">
        <v>17253754.100000001</v>
      </c>
      <c r="I540" s="768">
        <v>30897872.93</v>
      </c>
    </row>
    <row r="541" spans="2:9" x14ac:dyDescent="0.2">
      <c r="B541" s="274">
        <v>5</v>
      </c>
      <c r="C541" s="826" t="s">
        <v>706</v>
      </c>
      <c r="D541" s="273" t="s">
        <v>879</v>
      </c>
      <c r="E541" s="768">
        <v>0</v>
      </c>
      <c r="F541" s="768">
        <v>18963673.629999999</v>
      </c>
      <c r="G541" s="768">
        <v>18963673.629999999</v>
      </c>
      <c r="H541" s="768">
        <v>1898778.4</v>
      </c>
      <c r="I541" s="768">
        <v>17064895.23</v>
      </c>
    </row>
    <row r="542" spans="2:9" x14ac:dyDescent="0.2">
      <c r="B542" s="274">
        <v>5</v>
      </c>
      <c r="C542" s="826" t="s">
        <v>206</v>
      </c>
      <c r="D542" s="273" t="s">
        <v>880</v>
      </c>
      <c r="E542" s="768">
        <v>0</v>
      </c>
      <c r="F542" s="768">
        <v>15661481.65</v>
      </c>
      <c r="G542" s="768">
        <v>15661481.65</v>
      </c>
      <c r="H542" s="768">
        <v>8716951.0899999999</v>
      </c>
      <c r="I542" s="768">
        <v>6944530.5599999996</v>
      </c>
    </row>
    <row r="543" spans="2:9" x14ac:dyDescent="0.2">
      <c r="B543" s="274">
        <v>5</v>
      </c>
      <c r="C543" s="826" t="s">
        <v>207</v>
      </c>
      <c r="D543" s="273" t="s">
        <v>1798</v>
      </c>
      <c r="E543" s="768">
        <v>0</v>
      </c>
      <c r="F543" s="768">
        <v>11963335.619999999</v>
      </c>
      <c r="G543" s="768">
        <v>11963335.619999999</v>
      </c>
      <c r="H543" s="768">
        <v>6246397.5599999996</v>
      </c>
      <c r="I543" s="768">
        <v>5716938.0599999996</v>
      </c>
    </row>
    <row r="544" spans="2:9" x14ac:dyDescent="0.2">
      <c r="B544" s="274">
        <v>5</v>
      </c>
      <c r="C544" s="826" t="s">
        <v>2406</v>
      </c>
      <c r="D544" s="273" t="s">
        <v>3085</v>
      </c>
      <c r="E544" s="768">
        <v>0</v>
      </c>
      <c r="F544" s="768">
        <v>1563136.13</v>
      </c>
      <c r="G544" s="768">
        <v>1563136.13</v>
      </c>
      <c r="H544" s="768">
        <v>391627.05</v>
      </c>
      <c r="I544" s="768">
        <v>1171509.08</v>
      </c>
    </row>
    <row r="545" spans="2:9" x14ac:dyDescent="0.2">
      <c r="B545" s="274">
        <v>5</v>
      </c>
      <c r="C545" s="826" t="s">
        <v>208</v>
      </c>
      <c r="D545" s="273" t="s">
        <v>807</v>
      </c>
      <c r="E545" s="768">
        <v>0</v>
      </c>
      <c r="F545" s="768">
        <v>39563461.740000002</v>
      </c>
      <c r="G545" s="768">
        <v>39563461.740000002</v>
      </c>
      <c r="H545" s="768">
        <v>1151694.5</v>
      </c>
      <c r="I545" s="768">
        <v>38411767.240000002</v>
      </c>
    </row>
    <row r="546" spans="2:9" x14ac:dyDescent="0.2">
      <c r="B546" s="274">
        <v>5</v>
      </c>
      <c r="C546" s="826" t="s">
        <v>3700</v>
      </c>
      <c r="D546" s="273" t="s">
        <v>881</v>
      </c>
      <c r="E546" s="768">
        <v>0</v>
      </c>
      <c r="F546" s="768">
        <v>3703507.02</v>
      </c>
      <c r="G546" s="768">
        <v>3703507.02</v>
      </c>
      <c r="H546" s="768">
        <v>0</v>
      </c>
      <c r="I546" s="768">
        <v>3703507.02</v>
      </c>
    </row>
    <row r="547" spans="2:9" x14ac:dyDescent="0.2">
      <c r="B547" s="274">
        <v>5</v>
      </c>
      <c r="C547" s="826" t="s">
        <v>707</v>
      </c>
      <c r="D547" s="273" t="s">
        <v>882</v>
      </c>
      <c r="E547" s="768">
        <v>0</v>
      </c>
      <c r="F547" s="768">
        <v>2871765.39</v>
      </c>
      <c r="G547" s="768">
        <v>2871765.39</v>
      </c>
      <c r="H547" s="768">
        <v>360567.05</v>
      </c>
      <c r="I547" s="768">
        <v>2511198.34</v>
      </c>
    </row>
    <row r="548" spans="2:9" x14ac:dyDescent="0.2">
      <c r="B548" s="274">
        <v>5</v>
      </c>
      <c r="C548" s="826" t="s">
        <v>1508</v>
      </c>
      <c r="D548" s="273" t="s">
        <v>2325</v>
      </c>
      <c r="E548" s="768">
        <v>0</v>
      </c>
      <c r="F548" s="768">
        <v>32988189.329999998</v>
      </c>
      <c r="G548" s="768">
        <v>32988189.329999998</v>
      </c>
      <c r="H548" s="768">
        <v>791127.45</v>
      </c>
      <c r="I548" s="768">
        <v>32197061.879999999</v>
      </c>
    </row>
    <row r="549" spans="2:9" x14ac:dyDescent="0.2">
      <c r="B549" s="274">
        <v>5</v>
      </c>
      <c r="C549" s="826" t="s">
        <v>209</v>
      </c>
      <c r="D549" s="273" t="s">
        <v>1032</v>
      </c>
      <c r="E549" s="768">
        <v>1415738669.9300001</v>
      </c>
      <c r="F549" s="768">
        <v>-1517715060.77</v>
      </c>
      <c r="G549" s="768">
        <v>-101976390.84</v>
      </c>
      <c r="H549" s="768">
        <v>0</v>
      </c>
      <c r="I549" s="768">
        <v>-101976390.84</v>
      </c>
    </row>
    <row r="551" spans="2:9" s="771" customFormat="1" x14ac:dyDescent="0.2">
      <c r="B551" s="766">
        <v>5</v>
      </c>
      <c r="C551" s="824" t="s">
        <v>404</v>
      </c>
      <c r="D551" s="771" t="s">
        <v>1262</v>
      </c>
      <c r="E551" s="825">
        <v>8899600000</v>
      </c>
      <c r="F551" s="825">
        <v>0</v>
      </c>
      <c r="G551" s="825">
        <v>8899600000</v>
      </c>
      <c r="H551" s="825">
        <v>2735269790.9699998</v>
      </c>
      <c r="I551" s="825">
        <v>6164330209.0299997</v>
      </c>
    </row>
    <row r="552" spans="2:9" x14ac:dyDescent="0.2">
      <c r="B552" s="274">
        <v>5</v>
      </c>
      <c r="C552" s="826" t="s">
        <v>688</v>
      </c>
      <c r="D552" s="273" t="s">
        <v>878</v>
      </c>
      <c r="E552" s="768">
        <v>8899600000</v>
      </c>
      <c r="F552" s="768">
        <v>0</v>
      </c>
      <c r="G552" s="768">
        <v>8899600000</v>
      </c>
      <c r="H552" s="768">
        <v>2735269790.9699998</v>
      </c>
      <c r="I552" s="768">
        <v>6164330209.0299997</v>
      </c>
    </row>
    <row r="553" spans="2:9" x14ac:dyDescent="0.2">
      <c r="B553" s="274">
        <v>5</v>
      </c>
      <c r="C553" s="826" t="s">
        <v>210</v>
      </c>
      <c r="D553" s="273" t="s">
        <v>1263</v>
      </c>
      <c r="E553" s="768">
        <v>0</v>
      </c>
      <c r="F553" s="768">
        <v>6917748579.3800001</v>
      </c>
      <c r="G553" s="768">
        <v>6917748579.3800001</v>
      </c>
      <c r="H553" s="768">
        <v>2255423141.6700001</v>
      </c>
      <c r="I553" s="768">
        <v>4662325437.71</v>
      </c>
    </row>
    <row r="554" spans="2:9" x14ac:dyDescent="0.2">
      <c r="B554" s="274">
        <v>5</v>
      </c>
      <c r="C554" s="826" t="s">
        <v>3701</v>
      </c>
      <c r="D554" s="273" t="s">
        <v>3556</v>
      </c>
      <c r="E554" s="768">
        <v>0</v>
      </c>
      <c r="F554" s="768">
        <v>1559000</v>
      </c>
      <c r="G554" s="768">
        <v>1559000</v>
      </c>
      <c r="H554" s="768">
        <v>1366595.95</v>
      </c>
      <c r="I554" s="768">
        <v>192404.05</v>
      </c>
    </row>
    <row r="555" spans="2:9" x14ac:dyDescent="0.2">
      <c r="B555" s="274">
        <v>5</v>
      </c>
      <c r="C555" s="826" t="s">
        <v>1033</v>
      </c>
      <c r="D555" s="273" t="s">
        <v>1034</v>
      </c>
      <c r="E555" s="768">
        <v>0</v>
      </c>
      <c r="F555" s="768">
        <v>3532630.09</v>
      </c>
      <c r="G555" s="768">
        <v>3532630.09</v>
      </c>
      <c r="H555" s="768">
        <v>0</v>
      </c>
      <c r="I555" s="768">
        <v>3532630.09</v>
      </c>
    </row>
    <row r="556" spans="2:9" x14ac:dyDescent="0.2">
      <c r="B556" s="274">
        <v>5</v>
      </c>
      <c r="C556" s="826" t="s">
        <v>2407</v>
      </c>
      <c r="D556" s="273" t="s">
        <v>2255</v>
      </c>
      <c r="E556" s="768">
        <v>0</v>
      </c>
      <c r="F556" s="768">
        <v>1121300</v>
      </c>
      <c r="G556" s="768">
        <v>1121300</v>
      </c>
      <c r="H556" s="768">
        <v>1121300</v>
      </c>
      <c r="I556" s="768">
        <v>0</v>
      </c>
    </row>
    <row r="557" spans="2:9" x14ac:dyDescent="0.2">
      <c r="B557" s="274">
        <v>5</v>
      </c>
      <c r="C557" s="826" t="s">
        <v>2408</v>
      </c>
      <c r="D557" s="273" t="s">
        <v>2326</v>
      </c>
      <c r="E557" s="768">
        <v>0</v>
      </c>
      <c r="F557" s="768">
        <v>484273.15</v>
      </c>
      <c r="G557" s="768">
        <v>484273.15</v>
      </c>
      <c r="H557" s="768">
        <v>139985</v>
      </c>
      <c r="I557" s="768">
        <v>344288.15</v>
      </c>
    </row>
    <row r="558" spans="2:9" x14ac:dyDescent="0.2">
      <c r="B558" s="274">
        <v>5</v>
      </c>
      <c r="C558" s="826" t="s">
        <v>2409</v>
      </c>
      <c r="D558" s="273" t="s">
        <v>2327</v>
      </c>
      <c r="E558" s="768">
        <v>0</v>
      </c>
      <c r="F558" s="768">
        <v>97714</v>
      </c>
      <c r="G558" s="768">
        <v>97714</v>
      </c>
      <c r="H558" s="768">
        <v>0</v>
      </c>
      <c r="I558" s="768">
        <v>97714</v>
      </c>
    </row>
    <row r="559" spans="2:9" x14ac:dyDescent="0.2">
      <c r="B559" s="274">
        <v>5</v>
      </c>
      <c r="C559" s="826" t="s">
        <v>3086</v>
      </c>
      <c r="D559" s="273" t="s">
        <v>2770</v>
      </c>
      <c r="E559" s="768">
        <v>0</v>
      </c>
      <c r="F559" s="768">
        <v>3653859.34</v>
      </c>
      <c r="G559" s="768">
        <v>3653859.34</v>
      </c>
      <c r="H559" s="768">
        <v>1817248.55</v>
      </c>
      <c r="I559" s="768">
        <v>1836610.79</v>
      </c>
    </row>
    <row r="560" spans="2:9" x14ac:dyDescent="0.2">
      <c r="B560" s="274">
        <v>5</v>
      </c>
      <c r="C560" s="826" t="s">
        <v>3702</v>
      </c>
      <c r="D560" s="273" t="s">
        <v>3557</v>
      </c>
      <c r="E560" s="768">
        <v>0</v>
      </c>
      <c r="F560" s="768">
        <v>1633989</v>
      </c>
      <c r="G560" s="768">
        <v>1633989</v>
      </c>
      <c r="H560" s="768">
        <v>1633989</v>
      </c>
      <c r="I560" s="768">
        <v>0</v>
      </c>
    </row>
    <row r="561" spans="2:9" x14ac:dyDescent="0.2">
      <c r="B561" s="274">
        <v>5</v>
      </c>
      <c r="C561" s="826" t="s">
        <v>1164</v>
      </c>
      <c r="D561" s="273" t="s">
        <v>1473</v>
      </c>
      <c r="E561" s="768">
        <v>0</v>
      </c>
      <c r="F561" s="768">
        <v>6750422628.1000004</v>
      </c>
      <c r="G561" s="768">
        <v>6750422628.1000004</v>
      </c>
      <c r="H561" s="768">
        <v>2218172026.9400001</v>
      </c>
      <c r="I561" s="768">
        <v>4532250601.1599998</v>
      </c>
    </row>
    <row r="562" spans="2:9" x14ac:dyDescent="0.2">
      <c r="B562" s="274">
        <v>5</v>
      </c>
      <c r="C562" s="826" t="s">
        <v>1474</v>
      </c>
      <c r="D562" s="273" t="s">
        <v>1475</v>
      </c>
      <c r="E562" s="768">
        <v>0</v>
      </c>
      <c r="F562" s="768">
        <v>45022185.700000003</v>
      </c>
      <c r="G562" s="768">
        <v>45022185.700000003</v>
      </c>
      <c r="H562" s="768">
        <v>11827098.050000001</v>
      </c>
      <c r="I562" s="768">
        <v>33195087.649999999</v>
      </c>
    </row>
    <row r="563" spans="2:9" x14ac:dyDescent="0.2">
      <c r="B563" s="274">
        <v>5</v>
      </c>
      <c r="C563" s="826" t="s">
        <v>2410</v>
      </c>
      <c r="D563" s="273" t="s">
        <v>2339</v>
      </c>
      <c r="E563" s="768">
        <v>0</v>
      </c>
      <c r="F563" s="768">
        <v>110221000</v>
      </c>
      <c r="G563" s="768">
        <v>110221000</v>
      </c>
      <c r="H563" s="768">
        <v>19344898.18</v>
      </c>
      <c r="I563" s="768">
        <v>90876101.819999993</v>
      </c>
    </row>
    <row r="564" spans="2:9" x14ac:dyDescent="0.2">
      <c r="B564" s="274">
        <v>5</v>
      </c>
      <c r="C564" s="826" t="s">
        <v>211</v>
      </c>
      <c r="D564" s="273" t="s">
        <v>1275</v>
      </c>
      <c r="E564" s="768">
        <v>0</v>
      </c>
      <c r="F564" s="768">
        <v>1286479128.9300001</v>
      </c>
      <c r="G564" s="768">
        <v>1286479128.9300001</v>
      </c>
      <c r="H564" s="768">
        <v>423936060.55000001</v>
      </c>
      <c r="I564" s="768">
        <v>862543068.38</v>
      </c>
    </row>
    <row r="565" spans="2:9" x14ac:dyDescent="0.2">
      <c r="B565" s="274">
        <v>5</v>
      </c>
      <c r="C565" s="826" t="s">
        <v>3703</v>
      </c>
      <c r="D565" s="273" t="s">
        <v>3704</v>
      </c>
      <c r="E565" s="768">
        <v>0</v>
      </c>
      <c r="F565" s="768">
        <v>9045297.8699999992</v>
      </c>
      <c r="G565" s="768">
        <v>9045297.8699999992</v>
      </c>
      <c r="H565" s="768">
        <v>4065559.7</v>
      </c>
      <c r="I565" s="768">
        <v>4979738.17</v>
      </c>
    </row>
    <row r="566" spans="2:9" x14ac:dyDescent="0.2">
      <c r="B566" s="274">
        <v>5</v>
      </c>
      <c r="C566" s="826" t="s">
        <v>212</v>
      </c>
      <c r="D566" s="273" t="s">
        <v>424</v>
      </c>
      <c r="E566" s="768">
        <v>0</v>
      </c>
      <c r="F566" s="768">
        <v>2948735.8</v>
      </c>
      <c r="G566" s="768">
        <v>2948735.8</v>
      </c>
      <c r="H566" s="768">
        <v>3329224.3</v>
      </c>
      <c r="I566" s="768">
        <v>-380488.5</v>
      </c>
    </row>
    <row r="567" spans="2:9" x14ac:dyDescent="0.2">
      <c r="B567" s="274">
        <v>5</v>
      </c>
      <c r="C567" s="826" t="s">
        <v>2411</v>
      </c>
      <c r="D567" s="273" t="s">
        <v>2328</v>
      </c>
      <c r="E567" s="768">
        <v>0</v>
      </c>
      <c r="F567" s="768">
        <v>3363346</v>
      </c>
      <c r="G567" s="768">
        <v>3363346</v>
      </c>
      <c r="H567" s="768">
        <v>580412.94999999995</v>
      </c>
      <c r="I567" s="768">
        <v>2782933.05</v>
      </c>
    </row>
    <row r="568" spans="2:9" x14ac:dyDescent="0.2">
      <c r="B568" s="274">
        <v>5</v>
      </c>
      <c r="C568" s="826" t="s">
        <v>3705</v>
      </c>
      <c r="D568" s="273" t="s">
        <v>1713</v>
      </c>
      <c r="E568" s="768">
        <v>0</v>
      </c>
      <c r="F568" s="768">
        <v>2312252.9500000002</v>
      </c>
      <c r="G568" s="768">
        <v>2312252.9500000002</v>
      </c>
      <c r="H568" s="768">
        <v>428690.75</v>
      </c>
      <c r="I568" s="768">
        <v>1883562.2</v>
      </c>
    </row>
    <row r="569" spans="2:9" x14ac:dyDescent="0.2">
      <c r="B569" s="274">
        <v>5</v>
      </c>
      <c r="C569" s="826" t="s">
        <v>1476</v>
      </c>
      <c r="D569" s="273" t="s">
        <v>1477</v>
      </c>
      <c r="E569" s="768">
        <v>0</v>
      </c>
      <c r="F569" s="768">
        <v>6220892.2300000004</v>
      </c>
      <c r="G569" s="768">
        <v>6220892.2300000004</v>
      </c>
      <c r="H569" s="768">
        <v>287003.36</v>
      </c>
      <c r="I569" s="768">
        <v>5933888.8700000001</v>
      </c>
    </row>
    <row r="570" spans="2:9" x14ac:dyDescent="0.2">
      <c r="B570" s="274">
        <v>5</v>
      </c>
      <c r="C570" s="826" t="s">
        <v>1684</v>
      </c>
      <c r="D570" s="273" t="s">
        <v>1685</v>
      </c>
      <c r="E570" s="768">
        <v>0</v>
      </c>
      <c r="F570" s="768">
        <v>3363346</v>
      </c>
      <c r="G570" s="768">
        <v>3363346</v>
      </c>
      <c r="H570" s="768">
        <v>309553.55</v>
      </c>
      <c r="I570" s="768">
        <v>3053792.45</v>
      </c>
    </row>
    <row r="571" spans="2:9" x14ac:dyDescent="0.2">
      <c r="B571" s="274">
        <v>5</v>
      </c>
      <c r="C571" s="826" t="s">
        <v>1714</v>
      </c>
      <c r="D571" s="273" t="s">
        <v>1715</v>
      </c>
      <c r="E571" s="768">
        <v>0</v>
      </c>
      <c r="F571" s="768">
        <v>27000000</v>
      </c>
      <c r="G571" s="768">
        <v>27000000</v>
      </c>
      <c r="H571" s="768">
        <v>2172292.6800000002</v>
      </c>
      <c r="I571" s="768">
        <v>24827707.32</v>
      </c>
    </row>
    <row r="572" spans="2:9" x14ac:dyDescent="0.2">
      <c r="B572" s="274">
        <v>5</v>
      </c>
      <c r="C572" s="826" t="s">
        <v>1478</v>
      </c>
      <c r="D572" s="273" t="s">
        <v>1479</v>
      </c>
      <c r="E572" s="768">
        <v>0</v>
      </c>
      <c r="F572" s="768">
        <v>616500323.14999998</v>
      </c>
      <c r="G572" s="768">
        <v>616500323.14999998</v>
      </c>
      <c r="H572" s="768">
        <v>197418451.11000001</v>
      </c>
      <c r="I572" s="768">
        <v>419081872.04000002</v>
      </c>
    </row>
    <row r="573" spans="2:9" x14ac:dyDescent="0.2">
      <c r="B573" s="274">
        <v>5</v>
      </c>
      <c r="C573" s="826" t="s">
        <v>3087</v>
      </c>
      <c r="D573" s="273" t="s">
        <v>2772</v>
      </c>
      <c r="E573" s="768">
        <v>0</v>
      </c>
      <c r="F573" s="768">
        <v>5533298.1600000001</v>
      </c>
      <c r="G573" s="768">
        <v>5533298.1600000001</v>
      </c>
      <c r="H573" s="768">
        <v>0</v>
      </c>
      <c r="I573" s="768">
        <v>5533298.1600000001</v>
      </c>
    </row>
    <row r="574" spans="2:9" x14ac:dyDescent="0.2">
      <c r="B574" s="274">
        <v>5</v>
      </c>
      <c r="C574" s="826" t="s">
        <v>2412</v>
      </c>
      <c r="D574" s="273" t="s">
        <v>2330</v>
      </c>
      <c r="E574" s="768">
        <v>0</v>
      </c>
      <c r="F574" s="768">
        <v>9568771.8000000007</v>
      </c>
      <c r="G574" s="768">
        <v>9568771.8000000007</v>
      </c>
      <c r="H574" s="768">
        <v>3238350.75</v>
      </c>
      <c r="I574" s="768">
        <v>6330421.0499999998</v>
      </c>
    </row>
    <row r="575" spans="2:9" x14ac:dyDescent="0.2">
      <c r="B575" s="274">
        <v>5</v>
      </c>
      <c r="C575" s="826" t="s">
        <v>361</v>
      </c>
      <c r="D575" s="273" t="s">
        <v>444</v>
      </c>
      <c r="E575" s="768">
        <v>0</v>
      </c>
      <c r="F575" s="768">
        <v>0</v>
      </c>
      <c r="G575" s="768">
        <v>0</v>
      </c>
      <c r="H575" s="768">
        <v>2836350</v>
      </c>
      <c r="I575" s="768">
        <v>-2836350</v>
      </c>
    </row>
    <row r="576" spans="2:9" x14ac:dyDescent="0.2">
      <c r="B576" s="274">
        <v>5</v>
      </c>
      <c r="C576" s="826" t="s">
        <v>2413</v>
      </c>
      <c r="D576" s="273" t="s">
        <v>2331</v>
      </c>
      <c r="E576" s="768">
        <v>0</v>
      </c>
      <c r="F576" s="768">
        <v>7179531.5999999996</v>
      </c>
      <c r="G576" s="768">
        <v>7179531.5999999996</v>
      </c>
      <c r="H576" s="768">
        <v>2822580.6</v>
      </c>
      <c r="I576" s="768">
        <v>4356951</v>
      </c>
    </row>
    <row r="577" spans="2:9" x14ac:dyDescent="0.2">
      <c r="B577" s="274">
        <v>5</v>
      </c>
      <c r="C577" s="826" t="s">
        <v>262</v>
      </c>
      <c r="D577" s="273" t="s">
        <v>445</v>
      </c>
      <c r="E577" s="768">
        <v>0</v>
      </c>
      <c r="F577" s="768">
        <v>31000000</v>
      </c>
      <c r="G577" s="768">
        <v>31000000</v>
      </c>
      <c r="H577" s="768">
        <v>9842827.8000000007</v>
      </c>
      <c r="I577" s="768">
        <v>21157172.199999999</v>
      </c>
    </row>
    <row r="578" spans="2:9" x14ac:dyDescent="0.2">
      <c r="B578" s="274">
        <v>5</v>
      </c>
      <c r="C578" s="826" t="s">
        <v>2414</v>
      </c>
      <c r="D578" s="273" t="s">
        <v>2332</v>
      </c>
      <c r="E578" s="768">
        <v>0</v>
      </c>
      <c r="F578" s="768">
        <v>305803.65000000002</v>
      </c>
      <c r="G578" s="768">
        <v>305803.65000000002</v>
      </c>
      <c r="H578" s="768">
        <v>240162.8</v>
      </c>
      <c r="I578" s="768">
        <v>65640.850000000006</v>
      </c>
    </row>
    <row r="579" spans="2:9" x14ac:dyDescent="0.2">
      <c r="B579" s="274">
        <v>5</v>
      </c>
      <c r="C579" s="826" t="s">
        <v>2415</v>
      </c>
      <c r="D579" s="273" t="s">
        <v>2333</v>
      </c>
      <c r="E579" s="768">
        <v>0</v>
      </c>
      <c r="F579" s="768">
        <v>13755821.65</v>
      </c>
      <c r="G579" s="768">
        <v>13755821.65</v>
      </c>
      <c r="H579" s="768">
        <v>6442304.6500000004</v>
      </c>
      <c r="I579" s="768">
        <v>7313517</v>
      </c>
    </row>
    <row r="580" spans="2:9" x14ac:dyDescent="0.2">
      <c r="B580" s="274">
        <v>5</v>
      </c>
      <c r="C580" s="826" t="s">
        <v>2416</v>
      </c>
      <c r="D580" s="273" t="s">
        <v>2334</v>
      </c>
      <c r="E580" s="768">
        <v>0</v>
      </c>
      <c r="F580" s="768">
        <v>8020559.7800000003</v>
      </c>
      <c r="G580" s="768">
        <v>8020559.7800000003</v>
      </c>
      <c r="H580" s="768">
        <v>5346554.05</v>
      </c>
      <c r="I580" s="768">
        <v>2674005.73</v>
      </c>
    </row>
    <row r="581" spans="2:9" x14ac:dyDescent="0.2">
      <c r="B581" s="274">
        <v>5</v>
      </c>
      <c r="C581" s="826" t="s">
        <v>2417</v>
      </c>
      <c r="D581" s="273" t="s">
        <v>2335</v>
      </c>
      <c r="E581" s="768">
        <v>0</v>
      </c>
      <c r="F581" s="768">
        <v>9176472</v>
      </c>
      <c r="G581" s="768">
        <v>9176472</v>
      </c>
      <c r="H581" s="768">
        <v>4975635.3</v>
      </c>
      <c r="I581" s="768">
        <v>4200836.7</v>
      </c>
    </row>
    <row r="582" spans="2:9" x14ac:dyDescent="0.2">
      <c r="B582" s="274">
        <v>5</v>
      </c>
      <c r="C582" s="826" t="s">
        <v>2418</v>
      </c>
      <c r="D582" s="273" t="s">
        <v>3088</v>
      </c>
      <c r="E582" s="768">
        <v>0</v>
      </c>
      <c r="F582" s="768">
        <v>6576119.4000000004</v>
      </c>
      <c r="G582" s="768">
        <v>6576119.4000000004</v>
      </c>
      <c r="H582" s="768">
        <v>2748551.35</v>
      </c>
      <c r="I582" s="768">
        <v>3827568.05</v>
      </c>
    </row>
    <row r="583" spans="2:9" x14ac:dyDescent="0.2">
      <c r="B583" s="274">
        <v>5</v>
      </c>
      <c r="C583" s="826" t="s">
        <v>3089</v>
      </c>
      <c r="D583" s="273" t="s">
        <v>3090</v>
      </c>
      <c r="E583" s="768">
        <v>0</v>
      </c>
      <c r="F583" s="768">
        <v>5741240</v>
      </c>
      <c r="G583" s="768">
        <v>5741240</v>
      </c>
      <c r="H583" s="768">
        <v>10171979.75</v>
      </c>
      <c r="I583" s="768">
        <v>-4430739.75</v>
      </c>
    </row>
    <row r="584" spans="2:9" x14ac:dyDescent="0.2">
      <c r="B584" s="274">
        <v>5</v>
      </c>
      <c r="C584" s="826" t="s">
        <v>1509</v>
      </c>
      <c r="D584" s="273" t="s">
        <v>1540</v>
      </c>
      <c r="E584" s="768">
        <v>0</v>
      </c>
      <c r="F584" s="768">
        <v>14173066.51</v>
      </c>
      <c r="G584" s="768">
        <v>14173066.51</v>
      </c>
      <c r="H584" s="768">
        <v>0</v>
      </c>
      <c r="I584" s="768">
        <v>14173066.51</v>
      </c>
    </row>
    <row r="585" spans="2:9" x14ac:dyDescent="0.2">
      <c r="B585" s="274">
        <v>5</v>
      </c>
      <c r="C585" s="826" t="s">
        <v>723</v>
      </c>
      <c r="D585" s="273" t="s">
        <v>724</v>
      </c>
      <c r="E585" s="768">
        <v>0</v>
      </c>
      <c r="F585" s="768">
        <v>211460.34</v>
      </c>
      <c r="G585" s="768">
        <v>211460.34</v>
      </c>
      <c r="H585" s="768">
        <v>120035.4</v>
      </c>
      <c r="I585" s="768">
        <v>91424.94</v>
      </c>
    </row>
    <row r="586" spans="2:9" x14ac:dyDescent="0.2">
      <c r="B586" s="274">
        <v>5</v>
      </c>
      <c r="C586" s="826" t="s">
        <v>3706</v>
      </c>
      <c r="D586" s="273" t="s">
        <v>3707</v>
      </c>
      <c r="E586" s="768">
        <v>0</v>
      </c>
      <c r="F586" s="768">
        <v>12410160</v>
      </c>
      <c r="G586" s="768">
        <v>12410160</v>
      </c>
      <c r="H586" s="768">
        <v>541718.69999999995</v>
      </c>
      <c r="I586" s="768">
        <v>11868441.300000001</v>
      </c>
    </row>
    <row r="587" spans="2:9" x14ac:dyDescent="0.2">
      <c r="B587" s="274">
        <v>5</v>
      </c>
      <c r="C587" s="826" t="s">
        <v>3708</v>
      </c>
      <c r="D587" s="273" t="s">
        <v>3560</v>
      </c>
      <c r="E587" s="768">
        <v>0</v>
      </c>
      <c r="F587" s="768">
        <v>5651801.6600000001</v>
      </c>
      <c r="G587" s="768">
        <v>5651801.6600000001</v>
      </c>
      <c r="H587" s="768">
        <v>5087540.5</v>
      </c>
      <c r="I587" s="768">
        <v>564261.16</v>
      </c>
    </row>
    <row r="588" spans="2:9" x14ac:dyDescent="0.2">
      <c r="B588" s="274">
        <v>5</v>
      </c>
      <c r="C588" s="826" t="s">
        <v>1717</v>
      </c>
      <c r="D588" s="273" t="s">
        <v>1718</v>
      </c>
      <c r="E588" s="768">
        <v>0</v>
      </c>
      <c r="F588" s="768">
        <v>431341047.5</v>
      </c>
      <c r="G588" s="768">
        <v>431341047.5</v>
      </c>
      <c r="H588" s="768">
        <v>132866792</v>
      </c>
      <c r="I588" s="768">
        <v>298474255.5</v>
      </c>
    </row>
    <row r="589" spans="2:9" x14ac:dyDescent="0.2">
      <c r="B589" s="274">
        <v>5</v>
      </c>
      <c r="C589" s="826" t="s">
        <v>3091</v>
      </c>
      <c r="D589" s="273" t="s">
        <v>1719</v>
      </c>
      <c r="E589" s="768">
        <v>0</v>
      </c>
      <c r="F589" s="768">
        <v>1799138.8</v>
      </c>
      <c r="G589" s="768">
        <v>1799138.8</v>
      </c>
      <c r="H589" s="768">
        <v>1108195</v>
      </c>
      <c r="I589" s="768">
        <v>690943.8</v>
      </c>
    </row>
    <row r="590" spans="2:9" x14ac:dyDescent="0.2">
      <c r="B590" s="274">
        <v>5</v>
      </c>
      <c r="C590" s="826" t="s">
        <v>3092</v>
      </c>
      <c r="D590" s="273" t="s">
        <v>2783</v>
      </c>
      <c r="E590" s="768">
        <v>0</v>
      </c>
      <c r="F590" s="768">
        <v>18537980.68</v>
      </c>
      <c r="G590" s="768">
        <v>18537980.68</v>
      </c>
      <c r="H590" s="768">
        <v>12794157.550000001</v>
      </c>
      <c r="I590" s="768">
        <v>5743823.1299999999</v>
      </c>
    </row>
    <row r="591" spans="2:9" x14ac:dyDescent="0.2">
      <c r="B591" s="274">
        <v>5</v>
      </c>
      <c r="C591" s="826" t="s">
        <v>1800</v>
      </c>
      <c r="D591" s="273" t="s">
        <v>2419</v>
      </c>
      <c r="E591" s="768">
        <v>0</v>
      </c>
      <c r="F591" s="768">
        <v>2000000</v>
      </c>
      <c r="G591" s="768">
        <v>2000000</v>
      </c>
      <c r="H591" s="768">
        <v>0</v>
      </c>
      <c r="I591" s="768">
        <v>2000000</v>
      </c>
    </row>
    <row r="592" spans="2:9" x14ac:dyDescent="0.2">
      <c r="B592" s="274">
        <v>5</v>
      </c>
      <c r="C592" s="826" t="s">
        <v>1801</v>
      </c>
      <c r="D592" s="273" t="s">
        <v>1802</v>
      </c>
      <c r="E592" s="768">
        <v>0</v>
      </c>
      <c r="F592" s="768">
        <v>2398472.85</v>
      </c>
      <c r="G592" s="768">
        <v>2398472.85</v>
      </c>
      <c r="H592" s="768">
        <v>398230</v>
      </c>
      <c r="I592" s="768">
        <v>2000242.85</v>
      </c>
    </row>
    <row r="593" spans="2:9" x14ac:dyDescent="0.2">
      <c r="B593" s="274">
        <v>5</v>
      </c>
      <c r="C593" s="826" t="s">
        <v>3709</v>
      </c>
      <c r="D593" s="273" t="s">
        <v>1804</v>
      </c>
      <c r="E593" s="768">
        <v>0</v>
      </c>
      <c r="F593" s="768">
        <v>16175259</v>
      </c>
      <c r="G593" s="768">
        <v>16175259</v>
      </c>
      <c r="H593" s="768">
        <v>0</v>
      </c>
      <c r="I593" s="768">
        <v>16175259</v>
      </c>
    </row>
    <row r="594" spans="2:9" x14ac:dyDescent="0.2">
      <c r="B594" s="274">
        <v>5</v>
      </c>
      <c r="C594" s="826" t="s">
        <v>1805</v>
      </c>
      <c r="D594" s="273" t="s">
        <v>3093</v>
      </c>
      <c r="E594" s="768">
        <v>0</v>
      </c>
      <c r="F594" s="768">
        <v>4935142.4000000004</v>
      </c>
      <c r="G594" s="768">
        <v>4935142.4000000004</v>
      </c>
      <c r="H594" s="768">
        <v>4590040.7</v>
      </c>
      <c r="I594" s="768">
        <v>345101.7</v>
      </c>
    </row>
    <row r="595" spans="2:9" x14ac:dyDescent="0.2">
      <c r="B595" s="274">
        <v>5</v>
      </c>
      <c r="C595" s="826" t="s">
        <v>1807</v>
      </c>
      <c r="D595" s="273" t="s">
        <v>1808</v>
      </c>
      <c r="E595" s="768">
        <v>0</v>
      </c>
      <c r="F595" s="768">
        <v>2836787.15</v>
      </c>
      <c r="G595" s="768">
        <v>2836787.15</v>
      </c>
      <c r="H595" s="768">
        <v>2778953.85</v>
      </c>
      <c r="I595" s="768">
        <v>57833.3</v>
      </c>
    </row>
    <row r="596" spans="2:9" x14ac:dyDescent="0.2">
      <c r="B596" s="274">
        <v>5</v>
      </c>
      <c r="C596" s="826" t="s">
        <v>2420</v>
      </c>
      <c r="D596" s="273" t="s">
        <v>2256</v>
      </c>
      <c r="E596" s="768">
        <v>0</v>
      </c>
      <c r="F596" s="768">
        <v>6397000</v>
      </c>
      <c r="G596" s="768">
        <v>6397000</v>
      </c>
      <c r="H596" s="768">
        <v>6393911.4000000004</v>
      </c>
      <c r="I596" s="768">
        <v>3088.6</v>
      </c>
    </row>
    <row r="597" spans="2:9" x14ac:dyDescent="0.2">
      <c r="B597" s="274">
        <v>5</v>
      </c>
      <c r="C597" s="826" t="s">
        <v>263</v>
      </c>
      <c r="D597" s="273" t="s">
        <v>446</v>
      </c>
      <c r="E597" s="768">
        <v>0</v>
      </c>
      <c r="F597" s="768">
        <v>4143600</v>
      </c>
      <c r="G597" s="768">
        <v>4143600</v>
      </c>
      <c r="H597" s="768">
        <v>4143600</v>
      </c>
      <c r="I597" s="768">
        <v>0</v>
      </c>
    </row>
    <row r="598" spans="2:9" x14ac:dyDescent="0.2">
      <c r="B598" s="274">
        <v>5</v>
      </c>
      <c r="C598" s="826" t="s">
        <v>3094</v>
      </c>
      <c r="D598" s="273" t="s">
        <v>1809</v>
      </c>
      <c r="E598" s="768">
        <v>0</v>
      </c>
      <c r="F598" s="768">
        <v>4143600</v>
      </c>
      <c r="G598" s="768">
        <v>4143600</v>
      </c>
      <c r="H598" s="768">
        <v>4143600</v>
      </c>
      <c r="I598" s="768">
        <v>0</v>
      </c>
    </row>
    <row r="599" spans="2:9" x14ac:dyDescent="0.2">
      <c r="B599" s="274">
        <v>5</v>
      </c>
      <c r="C599" s="826" t="s">
        <v>1541</v>
      </c>
      <c r="D599" s="273" t="s">
        <v>1275</v>
      </c>
      <c r="E599" s="768">
        <v>0</v>
      </c>
      <c r="F599" s="768">
        <v>182154084.74000001</v>
      </c>
      <c r="G599" s="768">
        <v>182154084.74000001</v>
      </c>
      <c r="H599" s="768">
        <v>51766988.75</v>
      </c>
      <c r="I599" s="768">
        <v>130387095.98999999</v>
      </c>
    </row>
    <row r="600" spans="2:9" x14ac:dyDescent="0.2">
      <c r="B600" s="274">
        <v>5</v>
      </c>
      <c r="C600" s="826" t="s">
        <v>3095</v>
      </c>
      <c r="D600" s="273" t="s">
        <v>2785</v>
      </c>
      <c r="E600" s="768">
        <v>0</v>
      </c>
      <c r="F600" s="768">
        <v>864874.9</v>
      </c>
      <c r="G600" s="768">
        <v>864874.9</v>
      </c>
      <c r="H600" s="768">
        <v>0</v>
      </c>
      <c r="I600" s="768">
        <v>864874.9</v>
      </c>
    </row>
    <row r="601" spans="2:9" x14ac:dyDescent="0.2">
      <c r="B601" s="274">
        <v>5</v>
      </c>
      <c r="C601" s="826" t="s">
        <v>3710</v>
      </c>
      <c r="D601" s="273" t="s">
        <v>3711</v>
      </c>
      <c r="E601" s="768">
        <v>0</v>
      </c>
      <c r="F601" s="768">
        <v>13839445</v>
      </c>
      <c r="G601" s="768">
        <v>13839445</v>
      </c>
      <c r="H601" s="768">
        <v>9296331.9000000004</v>
      </c>
      <c r="I601" s="768">
        <v>4543113.0999999996</v>
      </c>
    </row>
    <row r="602" spans="2:9" x14ac:dyDescent="0.2">
      <c r="B602" s="274">
        <v>5</v>
      </c>
      <c r="C602" s="826" t="s">
        <v>3712</v>
      </c>
      <c r="D602" s="273" t="s">
        <v>3713</v>
      </c>
      <c r="E602" s="768">
        <v>0</v>
      </c>
      <c r="F602" s="768">
        <v>40673425.75</v>
      </c>
      <c r="G602" s="768">
        <v>40673425.75</v>
      </c>
      <c r="H602" s="768">
        <v>25652798.550000001</v>
      </c>
      <c r="I602" s="768">
        <v>15020627.199999999</v>
      </c>
    </row>
    <row r="603" spans="2:9" x14ac:dyDescent="0.2">
      <c r="B603" s="274">
        <v>5</v>
      </c>
      <c r="C603" s="826" t="s">
        <v>3714</v>
      </c>
      <c r="D603" s="273" t="s">
        <v>3715</v>
      </c>
      <c r="E603" s="768">
        <v>0</v>
      </c>
      <c r="F603" s="768">
        <v>634005</v>
      </c>
      <c r="G603" s="768">
        <v>634005</v>
      </c>
      <c r="H603" s="768">
        <v>634005</v>
      </c>
      <c r="I603" s="768">
        <v>0</v>
      </c>
    </row>
    <row r="604" spans="2:9" x14ac:dyDescent="0.2">
      <c r="B604" s="274">
        <v>5</v>
      </c>
      <c r="C604" s="826" t="s">
        <v>1619</v>
      </c>
      <c r="D604" s="273" t="s">
        <v>1620</v>
      </c>
      <c r="E604" s="768">
        <v>0</v>
      </c>
      <c r="F604" s="768">
        <v>40000000</v>
      </c>
      <c r="G604" s="768">
        <v>40000000</v>
      </c>
      <c r="H604" s="768">
        <v>13956166.6</v>
      </c>
      <c r="I604" s="768">
        <v>26043833.399999999</v>
      </c>
    </row>
    <row r="605" spans="2:9" x14ac:dyDescent="0.2">
      <c r="B605" s="274">
        <v>5</v>
      </c>
      <c r="C605" s="826" t="s">
        <v>1687</v>
      </c>
      <c r="D605" s="273" t="s">
        <v>1688</v>
      </c>
      <c r="E605" s="768">
        <v>0</v>
      </c>
      <c r="F605" s="768">
        <v>9942534.0899999999</v>
      </c>
      <c r="G605" s="768">
        <v>9942534.0899999999</v>
      </c>
      <c r="H605" s="768">
        <v>1698482.75</v>
      </c>
      <c r="I605" s="768">
        <v>8244051.3399999999</v>
      </c>
    </row>
    <row r="606" spans="2:9" x14ac:dyDescent="0.2">
      <c r="B606" s="274">
        <v>5</v>
      </c>
      <c r="C606" s="826" t="s">
        <v>3716</v>
      </c>
      <c r="D606" s="273" t="s">
        <v>3567</v>
      </c>
      <c r="E606" s="768">
        <v>0</v>
      </c>
      <c r="F606" s="768">
        <v>24136800</v>
      </c>
      <c r="G606" s="768">
        <v>24136800</v>
      </c>
      <c r="H606" s="768">
        <v>529203.94999999995</v>
      </c>
      <c r="I606" s="768">
        <v>23607596.050000001</v>
      </c>
    </row>
    <row r="607" spans="2:9" x14ac:dyDescent="0.2">
      <c r="B607" s="274">
        <v>5</v>
      </c>
      <c r="C607" s="826" t="s">
        <v>3717</v>
      </c>
      <c r="D607" s="273" t="s">
        <v>3568</v>
      </c>
      <c r="E607" s="768">
        <v>0</v>
      </c>
      <c r="F607" s="768">
        <v>12033500</v>
      </c>
      <c r="G607" s="768">
        <v>12033500</v>
      </c>
      <c r="H607" s="768">
        <v>0</v>
      </c>
      <c r="I607" s="768">
        <v>12033500</v>
      </c>
    </row>
    <row r="608" spans="2:9" x14ac:dyDescent="0.2">
      <c r="B608" s="274">
        <v>5</v>
      </c>
      <c r="C608" s="826" t="s">
        <v>3718</v>
      </c>
      <c r="D608" s="273" t="s">
        <v>3570</v>
      </c>
      <c r="E608" s="768">
        <v>0</v>
      </c>
      <c r="F608" s="768">
        <v>29924500</v>
      </c>
      <c r="G608" s="768">
        <v>29924500</v>
      </c>
      <c r="H608" s="768">
        <v>0</v>
      </c>
      <c r="I608" s="768">
        <v>29924500</v>
      </c>
    </row>
    <row r="609" spans="2:9" x14ac:dyDescent="0.2">
      <c r="B609" s="274">
        <v>5</v>
      </c>
      <c r="C609" s="826" t="s">
        <v>3719</v>
      </c>
      <c r="D609" s="273" t="s">
        <v>3720</v>
      </c>
      <c r="E609" s="768">
        <v>0</v>
      </c>
      <c r="F609" s="768">
        <v>10105000</v>
      </c>
      <c r="G609" s="768">
        <v>10105000</v>
      </c>
      <c r="H609" s="768">
        <v>0</v>
      </c>
      <c r="I609" s="768">
        <v>10105000</v>
      </c>
    </row>
    <row r="610" spans="2:9" x14ac:dyDescent="0.2">
      <c r="B610" s="274">
        <v>5</v>
      </c>
      <c r="C610" s="826" t="s">
        <v>2421</v>
      </c>
      <c r="D610" s="273" t="s">
        <v>1275</v>
      </c>
      <c r="E610" s="768">
        <v>0</v>
      </c>
      <c r="F610" s="768">
        <v>1920256.31</v>
      </c>
      <c r="G610" s="768">
        <v>1920256.31</v>
      </c>
      <c r="H610" s="768">
        <v>0</v>
      </c>
      <c r="I610" s="768">
        <v>1920256.31</v>
      </c>
    </row>
    <row r="611" spans="2:9" x14ac:dyDescent="0.2">
      <c r="B611" s="274">
        <v>5</v>
      </c>
      <c r="C611" s="826" t="s">
        <v>2422</v>
      </c>
      <c r="D611" s="273" t="s">
        <v>2338</v>
      </c>
      <c r="E611" s="768">
        <v>0</v>
      </c>
      <c r="F611" s="768">
        <v>1920256.31</v>
      </c>
      <c r="G611" s="768">
        <v>1920256.31</v>
      </c>
      <c r="H611" s="768">
        <v>0</v>
      </c>
      <c r="I611" s="768">
        <v>1920256.31</v>
      </c>
    </row>
    <row r="612" spans="2:9" x14ac:dyDescent="0.2">
      <c r="B612" s="274">
        <v>5</v>
      </c>
      <c r="C612" s="826" t="s">
        <v>213</v>
      </c>
      <c r="D612" s="273" t="s">
        <v>11</v>
      </c>
      <c r="E612" s="768">
        <v>8899600000</v>
      </c>
      <c r="F612" s="768">
        <v>-8392445649.3599997</v>
      </c>
      <c r="G612" s="768">
        <v>507154350.63999999</v>
      </c>
      <c r="H612" s="768">
        <v>0</v>
      </c>
      <c r="I612" s="768">
        <v>507154350.63999999</v>
      </c>
    </row>
    <row r="614" spans="2:9" s="771" customFormat="1" x14ac:dyDescent="0.2">
      <c r="B614" s="766">
        <v>5</v>
      </c>
      <c r="C614" s="824" t="s">
        <v>364</v>
      </c>
      <c r="D614" s="771" t="s">
        <v>1195</v>
      </c>
      <c r="E614" s="825">
        <v>684500000</v>
      </c>
      <c r="F614" s="825">
        <v>-91236429.349999994</v>
      </c>
      <c r="G614" s="825">
        <v>593263570.64999998</v>
      </c>
      <c r="H614" s="825">
        <v>186274875.84999999</v>
      </c>
      <c r="I614" s="825">
        <v>406988694.80000001</v>
      </c>
    </row>
    <row r="615" spans="2:9" x14ac:dyDescent="0.2">
      <c r="B615" s="274">
        <v>5</v>
      </c>
      <c r="C615" s="826" t="s">
        <v>689</v>
      </c>
      <c r="D615" s="273" t="s">
        <v>878</v>
      </c>
      <c r="E615" s="768">
        <v>684500000</v>
      </c>
      <c r="F615" s="768">
        <v>-91236429.349999994</v>
      </c>
      <c r="G615" s="768">
        <v>593263570.64999998</v>
      </c>
      <c r="H615" s="768">
        <v>186274875.84999999</v>
      </c>
      <c r="I615" s="768">
        <v>406988694.80000001</v>
      </c>
    </row>
    <row r="616" spans="2:9" x14ac:dyDescent="0.2">
      <c r="B616" s="274">
        <v>5</v>
      </c>
      <c r="C616" s="826" t="s">
        <v>886</v>
      </c>
      <c r="D616" s="273" t="s">
        <v>1196</v>
      </c>
      <c r="E616" s="768">
        <v>0</v>
      </c>
      <c r="F616" s="768">
        <v>323612032.44999999</v>
      </c>
      <c r="G616" s="768">
        <v>323612032.44999999</v>
      </c>
      <c r="H616" s="768">
        <v>60048038.289999999</v>
      </c>
      <c r="I616" s="768">
        <v>263563994.16</v>
      </c>
    </row>
    <row r="617" spans="2:9" x14ac:dyDescent="0.2">
      <c r="B617" s="274">
        <v>5</v>
      </c>
      <c r="C617" s="826" t="s">
        <v>2423</v>
      </c>
      <c r="D617" s="273" t="s">
        <v>12</v>
      </c>
      <c r="E617" s="768">
        <v>0</v>
      </c>
      <c r="F617" s="768">
        <v>8982427.4499999993</v>
      </c>
      <c r="G617" s="768">
        <v>8982427.4499999993</v>
      </c>
      <c r="H617" s="768">
        <v>4995091.05</v>
      </c>
      <c r="I617" s="768">
        <v>3987336.4</v>
      </c>
    </row>
    <row r="618" spans="2:9" x14ac:dyDescent="0.2">
      <c r="B618" s="274">
        <v>5</v>
      </c>
      <c r="C618" s="826" t="s">
        <v>1510</v>
      </c>
      <c r="D618" s="273" t="s">
        <v>1542</v>
      </c>
      <c r="E618" s="768">
        <v>0</v>
      </c>
      <c r="F618" s="768">
        <v>110000000</v>
      </c>
      <c r="G618" s="768">
        <v>110000000</v>
      </c>
      <c r="H618" s="768">
        <v>24395801.649999999</v>
      </c>
      <c r="I618" s="768">
        <v>85604198.349999994</v>
      </c>
    </row>
    <row r="619" spans="2:9" x14ac:dyDescent="0.2">
      <c r="B619" s="274">
        <v>5</v>
      </c>
      <c r="C619" s="826" t="s">
        <v>1813</v>
      </c>
      <c r="D619" s="273" t="s">
        <v>1814</v>
      </c>
      <c r="E619" s="768">
        <v>0</v>
      </c>
      <c r="F619" s="768">
        <v>17678160</v>
      </c>
      <c r="G619" s="768">
        <v>17678160</v>
      </c>
      <c r="H619" s="768">
        <v>8485015.7400000002</v>
      </c>
      <c r="I619" s="768">
        <v>9193144.2599999998</v>
      </c>
    </row>
    <row r="620" spans="2:9" x14ac:dyDescent="0.2">
      <c r="B620" s="274">
        <v>5</v>
      </c>
      <c r="C620" s="826" t="s">
        <v>3721</v>
      </c>
      <c r="D620" s="273" t="s">
        <v>3722</v>
      </c>
      <c r="E620" s="768">
        <v>0</v>
      </c>
      <c r="F620" s="768">
        <v>39727750</v>
      </c>
      <c r="G620" s="768">
        <v>39727750</v>
      </c>
      <c r="H620" s="768">
        <v>22172129.850000001</v>
      </c>
      <c r="I620" s="768">
        <v>17555620.149999999</v>
      </c>
    </row>
    <row r="621" spans="2:9" x14ac:dyDescent="0.2">
      <c r="B621" s="274">
        <v>5</v>
      </c>
      <c r="C621" s="826" t="s">
        <v>3723</v>
      </c>
      <c r="D621" s="273" t="s">
        <v>3573</v>
      </c>
      <c r="E621" s="768">
        <v>0</v>
      </c>
      <c r="F621" s="768">
        <v>7707635</v>
      </c>
      <c r="G621" s="768">
        <v>7707635</v>
      </c>
      <c r="H621" s="768">
        <v>0</v>
      </c>
      <c r="I621" s="768">
        <v>7707635</v>
      </c>
    </row>
    <row r="622" spans="2:9" x14ac:dyDescent="0.2">
      <c r="B622" s="274">
        <v>5</v>
      </c>
      <c r="C622" s="826" t="s">
        <v>3724</v>
      </c>
      <c r="D622" s="273" t="s">
        <v>3725</v>
      </c>
      <c r="E622" s="768">
        <v>0</v>
      </c>
      <c r="F622" s="768">
        <v>139516060</v>
      </c>
      <c r="G622" s="768">
        <v>139516060</v>
      </c>
      <c r="H622" s="768">
        <v>0</v>
      </c>
      <c r="I622" s="768">
        <v>139516060</v>
      </c>
    </row>
    <row r="623" spans="2:9" x14ac:dyDescent="0.2">
      <c r="B623" s="274">
        <v>5</v>
      </c>
      <c r="C623" s="826" t="s">
        <v>1743</v>
      </c>
      <c r="D623" s="273" t="s">
        <v>1200</v>
      </c>
      <c r="E623" s="768">
        <v>0</v>
      </c>
      <c r="F623" s="768">
        <v>427381169.69</v>
      </c>
      <c r="G623" s="768">
        <v>427381169.69</v>
      </c>
      <c r="H623" s="768">
        <v>126226837.56</v>
      </c>
      <c r="I623" s="768">
        <v>301154332.13</v>
      </c>
    </row>
    <row r="624" spans="2:9" x14ac:dyDescent="0.2">
      <c r="B624" s="274">
        <v>5</v>
      </c>
      <c r="C624" s="826" t="s">
        <v>1720</v>
      </c>
      <c r="D624" s="273" t="s">
        <v>1815</v>
      </c>
      <c r="E624" s="768">
        <v>0</v>
      </c>
      <c r="F624" s="768">
        <v>386960956.37</v>
      </c>
      <c r="G624" s="768">
        <v>386960956.37</v>
      </c>
      <c r="H624" s="768">
        <v>117535857.70999999</v>
      </c>
      <c r="I624" s="768">
        <v>269425098.66000003</v>
      </c>
    </row>
    <row r="625" spans="2:9" x14ac:dyDescent="0.2">
      <c r="B625" s="274">
        <v>5</v>
      </c>
      <c r="C625" s="826" t="s">
        <v>1816</v>
      </c>
      <c r="D625" s="273" t="s">
        <v>1817</v>
      </c>
      <c r="E625" s="768">
        <v>0</v>
      </c>
      <c r="F625" s="768">
        <v>40420213.32</v>
      </c>
      <c r="G625" s="768">
        <v>40420213.32</v>
      </c>
      <c r="H625" s="768">
        <v>8690979.8499999996</v>
      </c>
      <c r="I625" s="768">
        <v>31729233.469999999</v>
      </c>
    </row>
    <row r="626" spans="2:9" x14ac:dyDescent="0.2">
      <c r="B626" s="274">
        <v>5</v>
      </c>
      <c r="C626" s="826" t="s">
        <v>214</v>
      </c>
      <c r="D626" s="273" t="s">
        <v>175</v>
      </c>
      <c r="E626" s="768">
        <v>684500000</v>
      </c>
      <c r="F626" s="768">
        <v>-842229631.49000001</v>
      </c>
      <c r="G626" s="768">
        <v>-157729631.49000001</v>
      </c>
      <c r="H626" s="768">
        <v>0</v>
      </c>
      <c r="I626" s="768">
        <v>-157729631.49000001</v>
      </c>
    </row>
    <row r="628" spans="2:9" s="771" customFormat="1" x14ac:dyDescent="0.2">
      <c r="B628" s="766">
        <v>5</v>
      </c>
      <c r="C628" s="824" t="s">
        <v>1396</v>
      </c>
      <c r="D628" s="771" t="s">
        <v>1215</v>
      </c>
      <c r="E628" s="825">
        <v>731000000</v>
      </c>
      <c r="F628" s="825">
        <v>75874994</v>
      </c>
      <c r="G628" s="825">
        <v>806874994</v>
      </c>
      <c r="H628" s="825">
        <v>22531443.350000001</v>
      </c>
      <c r="I628" s="825">
        <v>784343550.64999998</v>
      </c>
    </row>
    <row r="629" spans="2:9" x14ac:dyDescent="0.2">
      <c r="B629" s="274">
        <v>5</v>
      </c>
      <c r="C629" s="826" t="s">
        <v>690</v>
      </c>
      <c r="D629" s="273" t="s">
        <v>878</v>
      </c>
      <c r="E629" s="768">
        <v>731000000</v>
      </c>
      <c r="F629" s="768">
        <v>75874994</v>
      </c>
      <c r="G629" s="768">
        <v>806874994</v>
      </c>
      <c r="H629" s="768">
        <v>22531443.350000001</v>
      </c>
      <c r="I629" s="768">
        <v>784343550.64999998</v>
      </c>
    </row>
    <row r="630" spans="2:9" x14ac:dyDescent="0.2">
      <c r="B630" s="274">
        <v>5</v>
      </c>
      <c r="C630" s="826" t="s">
        <v>543</v>
      </c>
      <c r="D630" s="273" t="s">
        <v>176</v>
      </c>
      <c r="E630" s="768">
        <v>0</v>
      </c>
      <c r="F630" s="768">
        <v>69474994</v>
      </c>
      <c r="G630" s="768">
        <v>69474994</v>
      </c>
      <c r="H630" s="768">
        <v>19481443.350000001</v>
      </c>
      <c r="I630" s="768">
        <v>49993550.649999999</v>
      </c>
    </row>
    <row r="631" spans="2:9" x14ac:dyDescent="0.2">
      <c r="B631" s="274">
        <v>5</v>
      </c>
      <c r="C631" s="826" t="s">
        <v>3096</v>
      </c>
      <c r="D631" s="273" t="s">
        <v>2788</v>
      </c>
      <c r="E631" s="768">
        <v>0</v>
      </c>
      <c r="F631" s="768">
        <v>500000</v>
      </c>
      <c r="G631" s="768">
        <v>500000</v>
      </c>
      <c r="H631" s="768">
        <v>200000</v>
      </c>
      <c r="I631" s="768">
        <v>300000</v>
      </c>
    </row>
    <row r="632" spans="2:9" x14ac:dyDescent="0.2">
      <c r="B632" s="274">
        <v>5</v>
      </c>
      <c r="C632" s="826" t="s">
        <v>1148</v>
      </c>
      <c r="D632" s="273" t="s">
        <v>178</v>
      </c>
      <c r="E632" s="768">
        <v>0</v>
      </c>
      <c r="F632" s="768">
        <v>62074994</v>
      </c>
      <c r="G632" s="768">
        <v>62074994</v>
      </c>
      <c r="H632" s="768">
        <v>16601443.35</v>
      </c>
      <c r="I632" s="768">
        <v>45473550.649999999</v>
      </c>
    </row>
    <row r="633" spans="2:9" x14ac:dyDescent="0.2">
      <c r="B633" s="274">
        <v>5</v>
      </c>
      <c r="C633" s="826" t="s">
        <v>260</v>
      </c>
      <c r="D633" s="273" t="s">
        <v>179</v>
      </c>
      <c r="E633" s="768">
        <v>0</v>
      </c>
      <c r="F633" s="768">
        <v>2800000</v>
      </c>
      <c r="G633" s="768">
        <v>2800000</v>
      </c>
      <c r="H633" s="768">
        <v>1000000</v>
      </c>
      <c r="I633" s="768">
        <v>1800000</v>
      </c>
    </row>
    <row r="634" spans="2:9" x14ac:dyDescent="0.2">
      <c r="B634" s="274">
        <v>5</v>
      </c>
      <c r="C634" s="826" t="s">
        <v>480</v>
      </c>
      <c r="D634" s="273" t="s">
        <v>481</v>
      </c>
      <c r="E634" s="768">
        <v>0</v>
      </c>
      <c r="F634" s="768">
        <v>1500000</v>
      </c>
      <c r="G634" s="768">
        <v>1500000</v>
      </c>
      <c r="H634" s="768">
        <v>300000</v>
      </c>
      <c r="I634" s="768">
        <v>1200000</v>
      </c>
    </row>
    <row r="635" spans="2:9" x14ac:dyDescent="0.2">
      <c r="B635" s="274">
        <v>5</v>
      </c>
      <c r="C635" s="826" t="s">
        <v>1038</v>
      </c>
      <c r="D635" s="273" t="s">
        <v>1039</v>
      </c>
      <c r="E635" s="768">
        <v>0</v>
      </c>
      <c r="F635" s="768">
        <v>1600000</v>
      </c>
      <c r="G635" s="768">
        <v>1600000</v>
      </c>
      <c r="H635" s="768">
        <v>880000</v>
      </c>
      <c r="I635" s="768">
        <v>720000</v>
      </c>
    </row>
    <row r="636" spans="2:9" x14ac:dyDescent="0.2">
      <c r="B636" s="274">
        <v>5</v>
      </c>
      <c r="C636" s="826" t="s">
        <v>2424</v>
      </c>
      <c r="D636" s="273" t="s">
        <v>2345</v>
      </c>
      <c r="E636" s="768">
        <v>0</v>
      </c>
      <c r="F636" s="768">
        <v>1000000</v>
      </c>
      <c r="G636" s="768">
        <v>1000000</v>
      </c>
      <c r="H636" s="768">
        <v>500000</v>
      </c>
      <c r="I636" s="768">
        <v>500000</v>
      </c>
    </row>
    <row r="637" spans="2:9" x14ac:dyDescent="0.2">
      <c r="B637" s="274">
        <v>5</v>
      </c>
      <c r="C637" s="826" t="s">
        <v>1820</v>
      </c>
      <c r="D637" s="273" t="s">
        <v>867</v>
      </c>
      <c r="E637" s="768">
        <v>0</v>
      </c>
      <c r="F637" s="768">
        <v>8000000</v>
      </c>
      <c r="G637" s="768">
        <v>8000000</v>
      </c>
      <c r="H637" s="768">
        <v>3050000</v>
      </c>
      <c r="I637" s="768">
        <v>4950000</v>
      </c>
    </row>
    <row r="638" spans="2:9" x14ac:dyDescent="0.2">
      <c r="B638" s="274">
        <v>5</v>
      </c>
      <c r="C638" s="826" t="s">
        <v>1821</v>
      </c>
      <c r="D638" s="273" t="s">
        <v>1822</v>
      </c>
      <c r="E638" s="768">
        <v>0</v>
      </c>
      <c r="F638" s="768">
        <v>8000000</v>
      </c>
      <c r="G638" s="768">
        <v>8000000</v>
      </c>
      <c r="H638" s="768">
        <v>3050000</v>
      </c>
      <c r="I638" s="768">
        <v>4950000</v>
      </c>
    </row>
    <row r="639" spans="2:9" x14ac:dyDescent="0.2">
      <c r="B639" s="274">
        <v>5</v>
      </c>
      <c r="C639" s="826" t="s">
        <v>215</v>
      </c>
      <c r="D639" s="273" t="s">
        <v>488</v>
      </c>
      <c r="E639" s="768">
        <v>731000000</v>
      </c>
      <c r="F639" s="768">
        <v>-1600000</v>
      </c>
      <c r="G639" s="768">
        <v>729400000</v>
      </c>
      <c r="H639" s="768">
        <v>0</v>
      </c>
      <c r="I639" s="768">
        <v>729400000</v>
      </c>
    </row>
    <row r="641" spans="2:9" s="771" customFormat="1" x14ac:dyDescent="0.2">
      <c r="B641" s="766">
        <v>5</v>
      </c>
      <c r="C641" s="824" t="s">
        <v>1402</v>
      </c>
      <c r="D641" s="771" t="s">
        <v>1412</v>
      </c>
      <c r="E641" s="825">
        <v>0</v>
      </c>
      <c r="F641" s="825">
        <v>0</v>
      </c>
      <c r="G641" s="825">
        <v>0</v>
      </c>
      <c r="H641" s="825">
        <v>6245108.29</v>
      </c>
      <c r="I641" s="825">
        <v>-6245108.29</v>
      </c>
    </row>
    <row r="642" spans="2:9" x14ac:dyDescent="0.2">
      <c r="B642" s="274">
        <v>5</v>
      </c>
      <c r="C642" s="826" t="s">
        <v>489</v>
      </c>
      <c r="D642" s="273" t="s">
        <v>878</v>
      </c>
      <c r="E642" s="768">
        <v>0</v>
      </c>
      <c r="F642" s="768">
        <v>0</v>
      </c>
      <c r="G642" s="768">
        <v>0</v>
      </c>
      <c r="H642" s="768">
        <v>6245108.29</v>
      </c>
      <c r="I642" s="768">
        <v>-6245108.29</v>
      </c>
    </row>
    <row r="643" spans="2:9" x14ac:dyDescent="0.2">
      <c r="B643" s="274">
        <v>5</v>
      </c>
      <c r="C643" s="826" t="s">
        <v>1744</v>
      </c>
      <c r="D643" s="273" t="s">
        <v>1336</v>
      </c>
      <c r="E643" s="768">
        <v>0</v>
      </c>
      <c r="F643" s="768">
        <v>25777613</v>
      </c>
      <c r="G643" s="768">
        <v>25777613</v>
      </c>
      <c r="H643" s="768">
        <v>6245108.29</v>
      </c>
      <c r="I643" s="768">
        <v>19532504.710000001</v>
      </c>
    </row>
    <row r="644" spans="2:9" x14ac:dyDescent="0.2">
      <c r="B644" s="274">
        <v>5</v>
      </c>
      <c r="C644" s="826" t="s">
        <v>3097</v>
      </c>
      <c r="D644" s="273" t="s">
        <v>2790</v>
      </c>
      <c r="E644" s="768">
        <v>0</v>
      </c>
      <c r="F644" s="768">
        <v>25777613</v>
      </c>
      <c r="G644" s="768">
        <v>25777613</v>
      </c>
      <c r="H644" s="768">
        <v>6140108.29</v>
      </c>
      <c r="I644" s="768">
        <v>19637504.710000001</v>
      </c>
    </row>
    <row r="645" spans="2:9" x14ac:dyDescent="0.2">
      <c r="B645" s="274">
        <v>5</v>
      </c>
      <c r="C645" s="826" t="s">
        <v>3726</v>
      </c>
      <c r="D645" s="273" t="s">
        <v>2791</v>
      </c>
      <c r="E645" s="768">
        <v>0</v>
      </c>
      <c r="F645" s="768">
        <v>0</v>
      </c>
      <c r="G645" s="768">
        <v>0</v>
      </c>
      <c r="H645" s="768">
        <v>105000</v>
      </c>
      <c r="I645" s="768">
        <v>-105000</v>
      </c>
    </row>
    <row r="646" spans="2:9" x14ac:dyDescent="0.2">
      <c r="B646" s="274">
        <v>5</v>
      </c>
      <c r="C646" s="826" t="s">
        <v>1745</v>
      </c>
      <c r="D646" s="273" t="s">
        <v>1824</v>
      </c>
      <c r="E646" s="768">
        <v>0</v>
      </c>
      <c r="F646" s="768">
        <v>-25777613</v>
      </c>
      <c r="G646" s="768">
        <v>-25777613</v>
      </c>
      <c r="H646" s="768">
        <v>0</v>
      </c>
      <c r="I646" s="768">
        <v>-25777613</v>
      </c>
    </row>
    <row r="648" spans="2:9" s="771" customFormat="1" x14ac:dyDescent="0.2">
      <c r="B648" s="766">
        <v>5</v>
      </c>
      <c r="C648" s="824" t="s">
        <v>537</v>
      </c>
      <c r="D648" s="771" t="s">
        <v>1062</v>
      </c>
      <c r="E648" s="825">
        <v>242000000</v>
      </c>
      <c r="F648" s="825">
        <v>0</v>
      </c>
      <c r="G648" s="825">
        <v>242000000</v>
      </c>
      <c r="H648" s="825">
        <v>4759474.53</v>
      </c>
      <c r="I648" s="825">
        <v>237240525.47</v>
      </c>
    </row>
    <row r="649" spans="2:9" x14ac:dyDescent="0.2">
      <c r="B649" s="274">
        <v>5</v>
      </c>
      <c r="C649" s="826" t="s">
        <v>691</v>
      </c>
      <c r="D649" s="273" t="s">
        <v>878</v>
      </c>
      <c r="E649" s="768">
        <v>242000000</v>
      </c>
      <c r="F649" s="768">
        <v>0</v>
      </c>
      <c r="G649" s="768">
        <v>242000000</v>
      </c>
      <c r="H649" s="768">
        <v>4759474.53</v>
      </c>
      <c r="I649" s="768">
        <v>237240525.47</v>
      </c>
    </row>
    <row r="650" spans="2:9" x14ac:dyDescent="0.2">
      <c r="B650" s="274">
        <v>5</v>
      </c>
      <c r="C650" s="826" t="s">
        <v>216</v>
      </c>
      <c r="D650" s="273" t="s">
        <v>1064</v>
      </c>
      <c r="E650" s="768">
        <v>0</v>
      </c>
      <c r="F650" s="768">
        <v>5500000</v>
      </c>
      <c r="G650" s="768">
        <v>5500000</v>
      </c>
      <c r="H650" s="768">
        <v>1850000</v>
      </c>
      <c r="I650" s="768">
        <v>3650000</v>
      </c>
    </row>
    <row r="651" spans="2:9" x14ac:dyDescent="0.2">
      <c r="B651" s="274">
        <v>5</v>
      </c>
      <c r="C651" s="826" t="s">
        <v>217</v>
      </c>
      <c r="D651" s="273" t="s">
        <v>1825</v>
      </c>
      <c r="E651" s="768">
        <v>0</v>
      </c>
      <c r="F651" s="768">
        <v>5500000</v>
      </c>
      <c r="G651" s="768">
        <v>5500000</v>
      </c>
      <c r="H651" s="768">
        <v>1850000</v>
      </c>
      <c r="I651" s="768">
        <v>3650000</v>
      </c>
    </row>
    <row r="652" spans="2:9" x14ac:dyDescent="0.2">
      <c r="B652" s="274">
        <v>5</v>
      </c>
      <c r="C652" s="826" t="s">
        <v>698</v>
      </c>
      <c r="D652" s="273" t="s">
        <v>1543</v>
      </c>
      <c r="E652" s="768">
        <v>0</v>
      </c>
      <c r="F652" s="768">
        <v>7800000</v>
      </c>
      <c r="G652" s="768">
        <v>7800000</v>
      </c>
      <c r="H652" s="768">
        <v>2909474.53</v>
      </c>
      <c r="I652" s="768">
        <v>4890525.47</v>
      </c>
    </row>
    <row r="653" spans="2:9" x14ac:dyDescent="0.2">
      <c r="B653" s="274">
        <v>5</v>
      </c>
      <c r="C653" s="826" t="s">
        <v>3727</v>
      </c>
      <c r="D653" s="273" t="s">
        <v>1544</v>
      </c>
      <c r="E653" s="768">
        <v>0</v>
      </c>
      <c r="F653" s="768">
        <v>7800000</v>
      </c>
      <c r="G653" s="768">
        <v>7800000</v>
      </c>
      <c r="H653" s="768">
        <v>2909474.53</v>
      </c>
      <c r="I653" s="768">
        <v>4890525.47</v>
      </c>
    </row>
    <row r="654" spans="2:9" x14ac:dyDescent="0.2">
      <c r="B654" s="274">
        <v>5</v>
      </c>
      <c r="C654" s="826" t="s">
        <v>1511</v>
      </c>
      <c r="D654" s="273" t="s">
        <v>1545</v>
      </c>
      <c r="E654" s="768">
        <v>0</v>
      </c>
      <c r="F654" s="768">
        <v>0</v>
      </c>
      <c r="G654" s="768">
        <v>0</v>
      </c>
      <c r="H654" s="768">
        <v>0</v>
      </c>
      <c r="I654" s="768">
        <v>0</v>
      </c>
    </row>
    <row r="655" spans="2:9" x14ac:dyDescent="0.2">
      <c r="B655" s="274">
        <v>5</v>
      </c>
      <c r="C655" s="826" t="s">
        <v>701</v>
      </c>
      <c r="D655" s="273" t="s">
        <v>498</v>
      </c>
      <c r="E655" s="768">
        <v>242000000</v>
      </c>
      <c r="F655" s="768">
        <v>-13300000</v>
      </c>
      <c r="G655" s="768">
        <v>228700000</v>
      </c>
      <c r="H655" s="768">
        <v>0</v>
      </c>
      <c r="I655" s="768">
        <v>228700000</v>
      </c>
    </row>
    <row r="657" spans="2:9" s="771" customFormat="1" x14ac:dyDescent="0.2">
      <c r="B657" s="766">
        <v>5</v>
      </c>
      <c r="C657" s="824" t="s">
        <v>326</v>
      </c>
      <c r="D657" s="771" t="s">
        <v>765</v>
      </c>
      <c r="E657" s="825">
        <v>1033022760</v>
      </c>
      <c r="F657" s="825">
        <v>13542847.5</v>
      </c>
      <c r="G657" s="825">
        <v>1046565607.5</v>
      </c>
      <c r="H657" s="825">
        <v>168543593.93000001</v>
      </c>
      <c r="I657" s="825">
        <v>878022013.57000005</v>
      </c>
    </row>
    <row r="658" spans="2:9" x14ac:dyDescent="0.2">
      <c r="B658" s="274">
        <v>5</v>
      </c>
      <c r="C658" s="826" t="s">
        <v>692</v>
      </c>
      <c r="D658" s="273" t="s">
        <v>878</v>
      </c>
      <c r="E658" s="768">
        <v>1033022760</v>
      </c>
      <c r="F658" s="768">
        <v>13542847.5</v>
      </c>
      <c r="G658" s="768">
        <v>1046565607.5</v>
      </c>
      <c r="H658" s="768">
        <v>168543593.93000001</v>
      </c>
      <c r="I658" s="768">
        <v>878022013.57000005</v>
      </c>
    </row>
    <row r="659" spans="2:9" x14ac:dyDescent="0.2">
      <c r="B659" s="274">
        <v>5</v>
      </c>
      <c r="C659" s="826" t="s">
        <v>702</v>
      </c>
      <c r="D659" s="273" t="s">
        <v>766</v>
      </c>
      <c r="E659" s="768">
        <v>0</v>
      </c>
      <c r="F659" s="768">
        <v>0</v>
      </c>
      <c r="G659" s="768">
        <v>0</v>
      </c>
      <c r="H659" s="768">
        <v>128200</v>
      </c>
      <c r="I659" s="768">
        <v>-128200</v>
      </c>
    </row>
    <row r="660" spans="2:9" x14ac:dyDescent="0.2">
      <c r="B660" s="274">
        <v>5</v>
      </c>
      <c r="C660" s="826" t="s">
        <v>703</v>
      </c>
      <c r="D660" s="273" t="s">
        <v>499</v>
      </c>
      <c r="E660" s="768">
        <v>0</v>
      </c>
      <c r="F660" s="768">
        <v>0</v>
      </c>
      <c r="G660" s="768">
        <v>0</v>
      </c>
      <c r="H660" s="768">
        <v>128200</v>
      </c>
      <c r="I660" s="768">
        <v>-128200</v>
      </c>
    </row>
    <row r="661" spans="2:9" x14ac:dyDescent="0.2">
      <c r="B661" s="274">
        <v>5</v>
      </c>
      <c r="C661" s="826" t="s">
        <v>500</v>
      </c>
      <c r="D661" s="273" t="s">
        <v>872</v>
      </c>
      <c r="E661" s="768">
        <v>0</v>
      </c>
      <c r="F661" s="768">
        <v>63213778.5</v>
      </c>
      <c r="G661" s="768">
        <v>63213778.5</v>
      </c>
      <c r="H661" s="768">
        <v>6273690.6699999999</v>
      </c>
      <c r="I661" s="768">
        <v>56940087.829999998</v>
      </c>
    </row>
    <row r="662" spans="2:9" x14ac:dyDescent="0.2">
      <c r="B662" s="274">
        <v>5</v>
      </c>
      <c r="C662" s="826" t="s">
        <v>501</v>
      </c>
      <c r="D662" s="273" t="s">
        <v>502</v>
      </c>
      <c r="E662" s="768">
        <v>0</v>
      </c>
      <c r="F662" s="768">
        <v>63213778.5</v>
      </c>
      <c r="G662" s="768">
        <v>63213778.5</v>
      </c>
      <c r="H662" s="768">
        <v>6273690.6699999999</v>
      </c>
      <c r="I662" s="768">
        <v>56940087.829999998</v>
      </c>
    </row>
    <row r="663" spans="2:9" x14ac:dyDescent="0.2">
      <c r="B663" s="274">
        <v>5</v>
      </c>
      <c r="C663" s="826" t="s">
        <v>704</v>
      </c>
      <c r="D663" s="273" t="s">
        <v>778</v>
      </c>
      <c r="E663" s="768">
        <v>0</v>
      </c>
      <c r="F663" s="768">
        <v>838696255.30999994</v>
      </c>
      <c r="G663" s="768">
        <v>838696255.30999994</v>
      </c>
      <c r="H663" s="768">
        <v>112930715.88</v>
      </c>
      <c r="I663" s="768">
        <v>725765539.42999995</v>
      </c>
    </row>
    <row r="664" spans="2:9" x14ac:dyDescent="0.2">
      <c r="B664" s="274">
        <v>5</v>
      </c>
      <c r="C664" s="826" t="s">
        <v>705</v>
      </c>
      <c r="D664" s="273" t="s">
        <v>503</v>
      </c>
      <c r="E664" s="768">
        <v>0</v>
      </c>
      <c r="F664" s="768">
        <v>838696255.30999994</v>
      </c>
      <c r="G664" s="768">
        <v>838696255.30999994</v>
      </c>
      <c r="H664" s="768">
        <v>112930715.88</v>
      </c>
      <c r="I664" s="768">
        <v>725765539.42999995</v>
      </c>
    </row>
    <row r="665" spans="2:9" x14ac:dyDescent="0.2">
      <c r="B665" s="274">
        <v>5</v>
      </c>
      <c r="C665" s="826" t="s">
        <v>1150</v>
      </c>
      <c r="D665" s="273" t="s">
        <v>789</v>
      </c>
      <c r="E665" s="768">
        <v>0</v>
      </c>
      <c r="F665" s="768">
        <v>62271758.700000003</v>
      </c>
      <c r="G665" s="768">
        <v>62271758.700000003</v>
      </c>
      <c r="H665" s="768">
        <v>5673347.7599999998</v>
      </c>
      <c r="I665" s="768">
        <v>56598410.939999998</v>
      </c>
    </row>
    <row r="666" spans="2:9" x14ac:dyDescent="0.2">
      <c r="B666" s="274">
        <v>5</v>
      </c>
      <c r="C666" s="826" t="s">
        <v>3098</v>
      </c>
      <c r="D666" s="273" t="s">
        <v>1512</v>
      </c>
      <c r="E666" s="768">
        <v>0</v>
      </c>
      <c r="F666" s="768">
        <v>55535.65</v>
      </c>
      <c r="G666" s="768">
        <v>55535.65</v>
      </c>
      <c r="H666" s="768">
        <v>0</v>
      </c>
      <c r="I666" s="768">
        <v>55535.65</v>
      </c>
    </row>
    <row r="667" spans="2:9" x14ac:dyDescent="0.2">
      <c r="B667" s="274">
        <v>5</v>
      </c>
      <c r="C667" s="826" t="s">
        <v>1151</v>
      </c>
      <c r="D667" s="273" t="s">
        <v>1826</v>
      </c>
      <c r="E667" s="768">
        <v>0</v>
      </c>
      <c r="F667" s="768">
        <v>17297540.050000001</v>
      </c>
      <c r="G667" s="768">
        <v>17297540.050000001</v>
      </c>
      <c r="H667" s="768">
        <v>1797540.05</v>
      </c>
      <c r="I667" s="768">
        <v>15500000</v>
      </c>
    </row>
    <row r="668" spans="2:9" x14ac:dyDescent="0.2">
      <c r="B668" s="274">
        <v>5</v>
      </c>
      <c r="C668" s="826" t="s">
        <v>504</v>
      </c>
      <c r="D668" s="273" t="s">
        <v>3728</v>
      </c>
      <c r="E668" s="768">
        <v>0</v>
      </c>
      <c r="F668" s="768">
        <v>44918683</v>
      </c>
      <c r="G668" s="768">
        <v>44918683</v>
      </c>
      <c r="H668" s="768">
        <v>3875807.71</v>
      </c>
      <c r="I668" s="768">
        <v>41042875.289999999</v>
      </c>
    </row>
    <row r="669" spans="2:9" x14ac:dyDescent="0.2">
      <c r="B669" s="274">
        <v>5</v>
      </c>
      <c r="C669" s="826" t="s">
        <v>1152</v>
      </c>
      <c r="D669" s="273" t="s">
        <v>791</v>
      </c>
      <c r="E669" s="768">
        <v>0</v>
      </c>
      <c r="F669" s="768">
        <v>254500000</v>
      </c>
      <c r="G669" s="768">
        <v>254500000</v>
      </c>
      <c r="H669" s="768">
        <v>43537639.619999997</v>
      </c>
      <c r="I669" s="768">
        <v>210962360.38</v>
      </c>
    </row>
    <row r="670" spans="2:9" x14ac:dyDescent="0.2">
      <c r="B670" s="274">
        <v>5</v>
      </c>
      <c r="C670" s="826" t="s">
        <v>1153</v>
      </c>
      <c r="D670" s="273" t="s">
        <v>819</v>
      </c>
      <c r="E670" s="768">
        <v>0</v>
      </c>
      <c r="F670" s="768">
        <v>254500000</v>
      </c>
      <c r="G670" s="768">
        <v>254500000</v>
      </c>
      <c r="H670" s="768">
        <v>43537639.619999997</v>
      </c>
      <c r="I670" s="768">
        <v>210962360.38</v>
      </c>
    </row>
    <row r="671" spans="2:9" x14ac:dyDescent="0.2">
      <c r="B671" s="274">
        <v>5</v>
      </c>
      <c r="C671" s="826" t="s">
        <v>1154</v>
      </c>
      <c r="D671" s="273" t="s">
        <v>824</v>
      </c>
      <c r="E671" s="768">
        <v>1033022760</v>
      </c>
      <c r="F671" s="768">
        <v>-1205138945.01</v>
      </c>
      <c r="G671" s="768">
        <v>-172116185.00999999</v>
      </c>
      <c r="H671" s="768">
        <v>0</v>
      </c>
      <c r="I671" s="768">
        <v>-172116185.00999999</v>
      </c>
    </row>
    <row r="673" spans="2:9" x14ac:dyDescent="0.2">
      <c r="B673" s="766">
        <v>6</v>
      </c>
      <c r="C673" s="824"/>
      <c r="D673" s="771" t="s">
        <v>1392</v>
      </c>
      <c r="E673" s="825">
        <v>850000000</v>
      </c>
      <c r="F673" s="825">
        <v>0</v>
      </c>
      <c r="G673" s="825">
        <v>850000000</v>
      </c>
      <c r="H673" s="825">
        <v>220694744.88</v>
      </c>
      <c r="I673" s="825">
        <v>629305255.12</v>
      </c>
    </row>
    <row r="674" spans="2:9" x14ac:dyDescent="0.2">
      <c r="B674" s="766"/>
      <c r="C674" s="824"/>
      <c r="D674" s="771"/>
      <c r="E674" s="825"/>
      <c r="F674" s="825"/>
      <c r="G674" s="825"/>
      <c r="H674" s="825"/>
      <c r="I674" s="825"/>
    </row>
    <row r="675" spans="2:9" s="771" customFormat="1" x14ac:dyDescent="0.2">
      <c r="B675" s="766">
        <v>6</v>
      </c>
      <c r="C675" s="824" t="s">
        <v>946</v>
      </c>
      <c r="D675" s="771" t="s">
        <v>557</v>
      </c>
      <c r="E675" s="825">
        <v>355000000</v>
      </c>
      <c r="F675" s="825">
        <v>920000</v>
      </c>
      <c r="G675" s="825">
        <v>355920000</v>
      </c>
      <c r="H675" s="825">
        <v>103022405.15000001</v>
      </c>
      <c r="I675" s="825">
        <v>252897594.84999999</v>
      </c>
    </row>
    <row r="676" spans="2:9" x14ac:dyDescent="0.2">
      <c r="B676" s="274">
        <v>6</v>
      </c>
      <c r="C676" s="826" t="s">
        <v>693</v>
      </c>
      <c r="D676" s="273" t="s">
        <v>802</v>
      </c>
      <c r="E676" s="768">
        <v>355000000</v>
      </c>
      <c r="F676" s="768">
        <v>920000</v>
      </c>
      <c r="G676" s="768">
        <v>355920000</v>
      </c>
      <c r="H676" s="768">
        <v>103022405.15000001</v>
      </c>
      <c r="I676" s="768">
        <v>252897594.84999999</v>
      </c>
    </row>
    <row r="677" spans="2:9" x14ac:dyDescent="0.2">
      <c r="B677" s="274">
        <v>6</v>
      </c>
      <c r="C677" s="826" t="s">
        <v>1155</v>
      </c>
      <c r="D677" s="273" t="s">
        <v>558</v>
      </c>
      <c r="E677" s="768">
        <v>0</v>
      </c>
      <c r="F677" s="768">
        <v>4000000</v>
      </c>
      <c r="G677" s="768">
        <v>4000000</v>
      </c>
      <c r="H677" s="768">
        <v>667699</v>
      </c>
      <c r="I677" s="768">
        <v>3332301</v>
      </c>
    </row>
    <row r="678" spans="2:9" x14ac:dyDescent="0.2">
      <c r="B678" s="274">
        <v>6</v>
      </c>
      <c r="C678" s="826" t="s">
        <v>1156</v>
      </c>
      <c r="D678" s="273" t="s">
        <v>825</v>
      </c>
      <c r="E678" s="768">
        <v>0</v>
      </c>
      <c r="F678" s="768">
        <v>0</v>
      </c>
      <c r="G678" s="768">
        <v>0</v>
      </c>
      <c r="H678" s="768">
        <v>59025</v>
      </c>
      <c r="I678" s="768">
        <v>-59025</v>
      </c>
    </row>
    <row r="679" spans="2:9" x14ac:dyDescent="0.2">
      <c r="B679" s="274">
        <v>6</v>
      </c>
      <c r="C679" s="826" t="s">
        <v>1159</v>
      </c>
      <c r="D679" s="273" t="s">
        <v>1160</v>
      </c>
      <c r="E679" s="768">
        <v>0</v>
      </c>
      <c r="F679" s="768">
        <v>4000000</v>
      </c>
      <c r="G679" s="768">
        <v>4000000</v>
      </c>
      <c r="H679" s="768">
        <v>516068</v>
      </c>
      <c r="I679" s="768">
        <v>3483932</v>
      </c>
    </row>
    <row r="680" spans="2:9" x14ac:dyDescent="0.2">
      <c r="B680" s="274">
        <v>6</v>
      </c>
      <c r="C680" s="826" t="s">
        <v>826</v>
      </c>
      <c r="D680" s="273" t="s">
        <v>102</v>
      </c>
      <c r="E680" s="768">
        <v>0</v>
      </c>
      <c r="F680" s="768">
        <v>0</v>
      </c>
      <c r="G680" s="768">
        <v>0</v>
      </c>
      <c r="H680" s="768">
        <v>41813</v>
      </c>
      <c r="I680" s="768">
        <v>-41813</v>
      </c>
    </row>
    <row r="681" spans="2:9" x14ac:dyDescent="0.2">
      <c r="B681" s="274">
        <v>6</v>
      </c>
      <c r="C681" s="826" t="s">
        <v>1622</v>
      </c>
      <c r="D681" s="273" t="s">
        <v>103</v>
      </c>
      <c r="E681" s="768">
        <v>0</v>
      </c>
      <c r="F681" s="768">
        <v>0</v>
      </c>
      <c r="G681" s="768">
        <v>0</v>
      </c>
      <c r="H681" s="768">
        <v>27459</v>
      </c>
      <c r="I681" s="768">
        <v>-27459</v>
      </c>
    </row>
    <row r="682" spans="2:9" x14ac:dyDescent="0.2">
      <c r="B682" s="274">
        <v>6</v>
      </c>
      <c r="C682" s="826" t="s">
        <v>1623</v>
      </c>
      <c r="D682" s="273" t="s">
        <v>1120</v>
      </c>
      <c r="E682" s="768">
        <v>0</v>
      </c>
      <c r="F682" s="768">
        <v>0</v>
      </c>
      <c r="G682" s="768">
        <v>0</v>
      </c>
      <c r="H682" s="768">
        <v>23334</v>
      </c>
      <c r="I682" s="768">
        <v>-23334</v>
      </c>
    </row>
    <row r="683" spans="2:9" x14ac:dyDescent="0.2">
      <c r="B683" s="274">
        <v>6</v>
      </c>
      <c r="C683" s="826" t="s">
        <v>1450</v>
      </c>
      <c r="D683" s="273" t="s">
        <v>804</v>
      </c>
      <c r="E683" s="768">
        <v>0</v>
      </c>
      <c r="F683" s="768">
        <v>118659955.56</v>
      </c>
      <c r="G683" s="768">
        <v>118659955.56</v>
      </c>
      <c r="H683" s="768">
        <v>45990627.149999999</v>
      </c>
      <c r="I683" s="768">
        <v>72669328.409999996</v>
      </c>
    </row>
    <row r="684" spans="2:9" x14ac:dyDescent="0.2">
      <c r="B684" s="274">
        <v>6</v>
      </c>
      <c r="C684" s="826" t="s">
        <v>1451</v>
      </c>
      <c r="D684" s="273" t="s">
        <v>1452</v>
      </c>
      <c r="E684" s="768">
        <v>0</v>
      </c>
      <c r="F684" s="768">
        <v>23863395.359999999</v>
      </c>
      <c r="G684" s="768">
        <v>23863395.359999999</v>
      </c>
      <c r="H684" s="768">
        <v>11902580.949999999</v>
      </c>
      <c r="I684" s="768">
        <v>11960814.41</v>
      </c>
    </row>
    <row r="685" spans="2:9" x14ac:dyDescent="0.2">
      <c r="B685" s="274">
        <v>6</v>
      </c>
      <c r="C685" s="826" t="s">
        <v>851</v>
      </c>
      <c r="D685" s="273" t="s">
        <v>2312</v>
      </c>
      <c r="E685" s="768">
        <v>0</v>
      </c>
      <c r="F685" s="768">
        <v>22422623</v>
      </c>
      <c r="G685" s="768">
        <v>22422623</v>
      </c>
      <c r="H685" s="768">
        <v>8072160.2999999998</v>
      </c>
      <c r="I685" s="768">
        <v>14350462.699999999</v>
      </c>
    </row>
    <row r="686" spans="2:9" x14ac:dyDescent="0.2">
      <c r="B686" s="274">
        <v>6</v>
      </c>
      <c r="C686" s="826" t="s">
        <v>1690</v>
      </c>
      <c r="D686" s="273" t="s">
        <v>1691</v>
      </c>
      <c r="E686" s="768">
        <v>0</v>
      </c>
      <c r="F686" s="768">
        <v>51453937.200000003</v>
      </c>
      <c r="G686" s="768">
        <v>51453937.200000003</v>
      </c>
      <c r="H686" s="768">
        <v>18055250.43</v>
      </c>
      <c r="I686" s="768">
        <v>33398686.77</v>
      </c>
    </row>
    <row r="687" spans="2:9" x14ac:dyDescent="0.2">
      <c r="B687" s="274">
        <v>6</v>
      </c>
      <c r="C687" s="826" t="s">
        <v>1692</v>
      </c>
      <c r="D687" s="273" t="s">
        <v>1693</v>
      </c>
      <c r="E687" s="768">
        <v>0</v>
      </c>
      <c r="F687" s="768">
        <v>20920000</v>
      </c>
      <c r="G687" s="768">
        <v>20920000</v>
      </c>
      <c r="H687" s="768">
        <v>7960635.4699999997</v>
      </c>
      <c r="I687" s="768">
        <v>12959364.529999999</v>
      </c>
    </row>
    <row r="688" spans="2:9" x14ac:dyDescent="0.2">
      <c r="B688" s="274">
        <v>6</v>
      </c>
      <c r="C688" s="826" t="s">
        <v>1453</v>
      </c>
      <c r="D688" s="273" t="s">
        <v>805</v>
      </c>
      <c r="E688" s="768">
        <v>0</v>
      </c>
      <c r="F688" s="768">
        <v>20946525.02</v>
      </c>
      <c r="G688" s="768">
        <v>20946525.02</v>
      </c>
      <c r="H688" s="768">
        <v>8115814.3499999996</v>
      </c>
      <c r="I688" s="768">
        <v>12830710.67</v>
      </c>
    </row>
    <row r="689" spans="2:9" x14ac:dyDescent="0.2">
      <c r="B689" s="274">
        <v>6</v>
      </c>
      <c r="C689" s="826" t="s">
        <v>887</v>
      </c>
      <c r="D689" s="273" t="s">
        <v>1040</v>
      </c>
      <c r="E689" s="768">
        <v>0</v>
      </c>
      <c r="F689" s="768">
        <v>20946525.02</v>
      </c>
      <c r="G689" s="768">
        <v>20946525.02</v>
      </c>
      <c r="H689" s="768">
        <v>8115814.3499999996</v>
      </c>
      <c r="I689" s="768">
        <v>12830710.67</v>
      </c>
    </row>
    <row r="690" spans="2:9" x14ac:dyDescent="0.2">
      <c r="B690" s="274">
        <v>6</v>
      </c>
      <c r="C690" s="826" t="s">
        <v>1456</v>
      </c>
      <c r="D690" s="273" t="s">
        <v>580</v>
      </c>
      <c r="E690" s="768">
        <v>0</v>
      </c>
      <c r="F690" s="768">
        <v>113233616.48999999</v>
      </c>
      <c r="G690" s="768">
        <v>113233616.48999999</v>
      </c>
      <c r="H690" s="768">
        <v>9859641.5999999996</v>
      </c>
      <c r="I690" s="768">
        <v>103373974.89</v>
      </c>
    </row>
    <row r="691" spans="2:9" x14ac:dyDescent="0.2">
      <c r="B691" s="274">
        <v>6</v>
      </c>
      <c r="C691" s="826" t="s">
        <v>1457</v>
      </c>
      <c r="D691" s="273" t="s">
        <v>829</v>
      </c>
      <c r="E691" s="768">
        <v>0</v>
      </c>
      <c r="F691" s="768">
        <v>112739116.48999999</v>
      </c>
      <c r="G691" s="768">
        <v>112739116.48999999</v>
      </c>
      <c r="H691" s="768">
        <v>9365141.5999999996</v>
      </c>
      <c r="I691" s="768">
        <v>103373974.89</v>
      </c>
    </row>
    <row r="692" spans="2:9" x14ac:dyDescent="0.2">
      <c r="B692" s="274">
        <v>6</v>
      </c>
      <c r="C692" s="826" t="s">
        <v>3099</v>
      </c>
      <c r="D692" s="273" t="s">
        <v>2313</v>
      </c>
      <c r="E692" s="768">
        <v>0</v>
      </c>
      <c r="F692" s="768">
        <v>494500</v>
      </c>
      <c r="G692" s="768">
        <v>494500</v>
      </c>
      <c r="H692" s="768">
        <v>494500</v>
      </c>
      <c r="I692" s="768">
        <v>0</v>
      </c>
    </row>
    <row r="693" spans="2:9" x14ac:dyDescent="0.2">
      <c r="B693" s="274">
        <v>6</v>
      </c>
      <c r="C693" s="826" t="s">
        <v>116</v>
      </c>
      <c r="D693" s="273" t="s">
        <v>806</v>
      </c>
      <c r="E693" s="768">
        <v>0</v>
      </c>
      <c r="F693" s="768">
        <v>95473951.579999998</v>
      </c>
      <c r="G693" s="768">
        <v>95473951.579999998</v>
      </c>
      <c r="H693" s="768">
        <v>38388623.049999997</v>
      </c>
      <c r="I693" s="768">
        <v>57085328.530000001</v>
      </c>
    </row>
    <row r="694" spans="2:9" x14ac:dyDescent="0.2">
      <c r="B694" s="274">
        <v>6</v>
      </c>
      <c r="C694" s="826" t="s">
        <v>117</v>
      </c>
      <c r="D694" s="273" t="s">
        <v>607</v>
      </c>
      <c r="E694" s="768">
        <v>0</v>
      </c>
      <c r="F694" s="768">
        <v>95473951.579999998</v>
      </c>
      <c r="G694" s="768">
        <v>95473951.579999998</v>
      </c>
      <c r="H694" s="768">
        <v>38388623.049999997</v>
      </c>
      <c r="I694" s="768">
        <v>57085328.530000001</v>
      </c>
    </row>
    <row r="695" spans="2:9" x14ac:dyDescent="0.2">
      <c r="B695" s="274">
        <v>6</v>
      </c>
      <c r="C695" s="826" t="s">
        <v>888</v>
      </c>
      <c r="D695" s="273" t="s">
        <v>837</v>
      </c>
      <c r="E695" s="768">
        <v>355000000</v>
      </c>
      <c r="F695" s="768">
        <v>-351394048.64999998</v>
      </c>
      <c r="G695" s="768">
        <v>3605951.35</v>
      </c>
      <c r="H695" s="768">
        <v>0</v>
      </c>
      <c r="I695" s="768">
        <v>3605951.35</v>
      </c>
    </row>
    <row r="697" spans="2:9" s="771" customFormat="1" x14ac:dyDescent="0.2">
      <c r="B697" s="766">
        <v>6</v>
      </c>
      <c r="C697" s="824" t="s">
        <v>364</v>
      </c>
      <c r="D697" s="771" t="s">
        <v>1195</v>
      </c>
      <c r="E697" s="825">
        <v>495000000</v>
      </c>
      <c r="F697" s="825">
        <v>-920000</v>
      </c>
      <c r="G697" s="825">
        <v>494080000</v>
      </c>
      <c r="H697" s="825">
        <v>117672339.73</v>
      </c>
      <c r="I697" s="825">
        <v>376407660.26999998</v>
      </c>
    </row>
    <row r="698" spans="2:9" x14ac:dyDescent="0.2">
      <c r="B698" s="274">
        <v>6</v>
      </c>
      <c r="C698" s="826" t="s">
        <v>889</v>
      </c>
      <c r="D698" s="273" t="s">
        <v>838</v>
      </c>
      <c r="E698" s="768">
        <v>495000000</v>
      </c>
      <c r="F698" s="768">
        <v>-920000</v>
      </c>
      <c r="G698" s="768">
        <v>494080000</v>
      </c>
      <c r="H698" s="768">
        <v>117672339.73</v>
      </c>
      <c r="I698" s="768">
        <v>376407660.26999998</v>
      </c>
    </row>
    <row r="699" spans="2:9" x14ac:dyDescent="0.2">
      <c r="B699" s="274">
        <v>6</v>
      </c>
      <c r="C699" s="826" t="s">
        <v>890</v>
      </c>
      <c r="D699" s="273" t="s">
        <v>1200</v>
      </c>
      <c r="E699" s="768">
        <v>0</v>
      </c>
      <c r="F699" s="768">
        <v>406550811.74000001</v>
      </c>
      <c r="G699" s="768">
        <v>406550811.74000001</v>
      </c>
      <c r="H699" s="768">
        <v>97498092.969999999</v>
      </c>
      <c r="I699" s="768">
        <v>309052718.76999998</v>
      </c>
    </row>
    <row r="700" spans="2:9" x14ac:dyDescent="0.2">
      <c r="B700" s="274">
        <v>6</v>
      </c>
      <c r="C700" s="826" t="s">
        <v>891</v>
      </c>
      <c r="D700" s="273" t="s">
        <v>1041</v>
      </c>
      <c r="E700" s="768">
        <v>0</v>
      </c>
      <c r="F700" s="768">
        <v>52616653.920000002</v>
      </c>
      <c r="G700" s="768">
        <v>52616653.920000002</v>
      </c>
      <c r="H700" s="768">
        <v>6680448.0499999998</v>
      </c>
      <c r="I700" s="768">
        <v>45936205.869999997</v>
      </c>
    </row>
    <row r="701" spans="2:9" x14ac:dyDescent="0.2">
      <c r="B701" s="274">
        <v>6</v>
      </c>
      <c r="C701" s="826" t="s">
        <v>380</v>
      </c>
      <c r="D701" s="273" t="s">
        <v>900</v>
      </c>
      <c r="E701" s="768">
        <v>0</v>
      </c>
      <c r="F701" s="768">
        <v>74659362.739999995</v>
      </c>
      <c r="G701" s="768">
        <v>74659362.739999995</v>
      </c>
      <c r="H701" s="768">
        <v>17033291.739999998</v>
      </c>
      <c r="I701" s="768">
        <v>57626071</v>
      </c>
    </row>
    <row r="702" spans="2:9" x14ac:dyDescent="0.2">
      <c r="B702" s="274">
        <v>6</v>
      </c>
      <c r="C702" s="826" t="s">
        <v>381</v>
      </c>
      <c r="D702" s="273" t="s">
        <v>1624</v>
      </c>
      <c r="E702" s="768">
        <v>0</v>
      </c>
      <c r="F702" s="768">
        <v>8629772.7200000007</v>
      </c>
      <c r="G702" s="768">
        <v>8629772.7200000007</v>
      </c>
      <c r="H702" s="768">
        <v>1424500</v>
      </c>
      <c r="I702" s="768">
        <v>7205272.7199999997</v>
      </c>
    </row>
    <row r="703" spans="2:9" x14ac:dyDescent="0.2">
      <c r="B703" s="274">
        <v>6</v>
      </c>
      <c r="C703" s="826" t="s">
        <v>892</v>
      </c>
      <c r="D703" s="273" t="s">
        <v>839</v>
      </c>
      <c r="E703" s="768">
        <v>0</v>
      </c>
      <c r="F703" s="768">
        <v>7077811.1100000003</v>
      </c>
      <c r="G703" s="768">
        <v>7077811.1100000003</v>
      </c>
      <c r="H703" s="768">
        <v>3288218.45</v>
      </c>
      <c r="I703" s="768">
        <v>3789592.66</v>
      </c>
    </row>
    <row r="704" spans="2:9" x14ac:dyDescent="0.2">
      <c r="B704" s="274">
        <v>6</v>
      </c>
      <c r="C704" s="826" t="s">
        <v>382</v>
      </c>
      <c r="D704" s="273" t="s">
        <v>1013</v>
      </c>
      <c r="E704" s="768">
        <v>0</v>
      </c>
      <c r="F704" s="768">
        <v>54475000</v>
      </c>
      <c r="G704" s="768">
        <v>54475000</v>
      </c>
      <c r="H704" s="768">
        <v>11350224.66</v>
      </c>
      <c r="I704" s="768">
        <v>43124775.340000004</v>
      </c>
    </row>
    <row r="705" spans="2:9" x14ac:dyDescent="0.2">
      <c r="B705" s="274">
        <v>6</v>
      </c>
      <c r="C705" s="826" t="s">
        <v>44</v>
      </c>
      <c r="D705" s="273" t="s">
        <v>383</v>
      </c>
      <c r="E705" s="768">
        <v>0</v>
      </c>
      <c r="F705" s="768">
        <v>41395322.950000003</v>
      </c>
      <c r="G705" s="768">
        <v>41395322.950000003</v>
      </c>
      <c r="H705" s="768">
        <v>8296022.6500000004</v>
      </c>
      <c r="I705" s="768">
        <v>33099300.300000001</v>
      </c>
    </row>
    <row r="706" spans="2:9" x14ac:dyDescent="0.2">
      <c r="B706" s="274">
        <v>6</v>
      </c>
      <c r="C706" s="826" t="s">
        <v>384</v>
      </c>
      <c r="D706" s="273" t="s">
        <v>840</v>
      </c>
      <c r="E706" s="768">
        <v>0</v>
      </c>
      <c r="F706" s="768">
        <v>9513186.8699999992</v>
      </c>
      <c r="G706" s="768">
        <v>9513186.8699999992</v>
      </c>
      <c r="H706" s="768">
        <v>9513186.8499999996</v>
      </c>
      <c r="I706" s="768">
        <v>0.02</v>
      </c>
    </row>
    <row r="707" spans="2:9" x14ac:dyDescent="0.2">
      <c r="B707" s="274">
        <v>6</v>
      </c>
      <c r="C707" s="826" t="s">
        <v>15</v>
      </c>
      <c r="D707" s="273" t="s">
        <v>16</v>
      </c>
      <c r="E707" s="768">
        <v>0</v>
      </c>
      <c r="F707" s="768">
        <v>7873607</v>
      </c>
      <c r="G707" s="768">
        <v>7873607</v>
      </c>
      <c r="H707" s="768">
        <v>503095</v>
      </c>
      <c r="I707" s="768">
        <v>7370512</v>
      </c>
    </row>
    <row r="708" spans="2:9" x14ac:dyDescent="0.2">
      <c r="B708" s="274">
        <v>6</v>
      </c>
      <c r="C708" s="826" t="s">
        <v>1307</v>
      </c>
      <c r="D708" s="273" t="s">
        <v>1308</v>
      </c>
      <c r="E708" s="768">
        <v>0</v>
      </c>
      <c r="F708" s="768">
        <v>94770654</v>
      </c>
      <c r="G708" s="768">
        <v>94770654</v>
      </c>
      <c r="H708" s="768">
        <v>33304208.850000001</v>
      </c>
      <c r="I708" s="768">
        <v>61466445.149999999</v>
      </c>
    </row>
    <row r="709" spans="2:9" x14ac:dyDescent="0.2">
      <c r="B709" s="274">
        <v>6</v>
      </c>
      <c r="C709" s="826" t="s">
        <v>3729</v>
      </c>
      <c r="D709" s="273" t="s">
        <v>3730</v>
      </c>
      <c r="E709" s="768">
        <v>0</v>
      </c>
      <c r="F709" s="768">
        <v>0</v>
      </c>
      <c r="G709" s="768">
        <v>0</v>
      </c>
      <c r="H709" s="768">
        <v>76400</v>
      </c>
      <c r="I709" s="768">
        <v>-76400</v>
      </c>
    </row>
    <row r="710" spans="2:9" x14ac:dyDescent="0.2">
      <c r="B710" s="274">
        <v>6</v>
      </c>
      <c r="C710" s="826" t="s">
        <v>1309</v>
      </c>
      <c r="D710" s="273" t="s">
        <v>841</v>
      </c>
      <c r="E710" s="768">
        <v>0</v>
      </c>
      <c r="F710" s="768">
        <v>19468873.219999999</v>
      </c>
      <c r="G710" s="768">
        <v>19468873.219999999</v>
      </c>
      <c r="H710" s="768">
        <v>4013614.92</v>
      </c>
      <c r="I710" s="768">
        <v>15455258.300000001</v>
      </c>
    </row>
    <row r="711" spans="2:9" x14ac:dyDescent="0.2">
      <c r="B711" s="274">
        <v>6</v>
      </c>
      <c r="C711" s="826" t="s">
        <v>1310</v>
      </c>
      <c r="D711" s="273" t="s">
        <v>1311</v>
      </c>
      <c r="E711" s="768">
        <v>0</v>
      </c>
      <c r="F711" s="768">
        <v>4200000</v>
      </c>
      <c r="G711" s="768">
        <v>4200000</v>
      </c>
      <c r="H711" s="768">
        <v>144400</v>
      </c>
      <c r="I711" s="768">
        <v>4055600</v>
      </c>
    </row>
    <row r="712" spans="2:9" x14ac:dyDescent="0.2">
      <c r="B712" s="274">
        <v>6</v>
      </c>
      <c r="C712" s="826" t="s">
        <v>461</v>
      </c>
      <c r="D712" s="273" t="s">
        <v>842</v>
      </c>
      <c r="E712" s="768">
        <v>0</v>
      </c>
      <c r="F712" s="768">
        <v>20001911.420000002</v>
      </c>
      <c r="G712" s="768">
        <v>20001911.420000002</v>
      </c>
      <c r="H712" s="768">
        <v>0</v>
      </c>
      <c r="I712" s="768">
        <v>20001911.420000002</v>
      </c>
    </row>
    <row r="713" spans="2:9" x14ac:dyDescent="0.2">
      <c r="B713" s="274">
        <v>6</v>
      </c>
      <c r="C713" s="826" t="s">
        <v>852</v>
      </c>
      <c r="D713" s="273" t="s">
        <v>853</v>
      </c>
      <c r="E713" s="768">
        <v>0</v>
      </c>
      <c r="F713" s="768">
        <v>261229.8</v>
      </c>
      <c r="G713" s="768">
        <v>261229.8</v>
      </c>
      <c r="H713" s="768">
        <v>34857.800000000003</v>
      </c>
      <c r="I713" s="768">
        <v>226372</v>
      </c>
    </row>
    <row r="714" spans="2:9" x14ac:dyDescent="0.2">
      <c r="B714" s="274">
        <v>6</v>
      </c>
      <c r="C714" s="826" t="s">
        <v>1625</v>
      </c>
      <c r="D714" s="273" t="s">
        <v>1626</v>
      </c>
      <c r="E714" s="768">
        <v>0</v>
      </c>
      <c r="F714" s="768">
        <v>6795365.5300000003</v>
      </c>
      <c r="G714" s="768">
        <v>6795365.5300000003</v>
      </c>
      <c r="H714" s="768">
        <v>1833424</v>
      </c>
      <c r="I714" s="768">
        <v>4961941.53</v>
      </c>
    </row>
    <row r="715" spans="2:9" x14ac:dyDescent="0.2">
      <c r="B715" s="274">
        <v>6</v>
      </c>
      <c r="C715" s="826" t="s">
        <v>1517</v>
      </c>
      <c r="D715" s="273" t="s">
        <v>1627</v>
      </c>
      <c r="E715" s="768">
        <v>0</v>
      </c>
      <c r="F715" s="768">
        <v>4812060.46</v>
      </c>
      <c r="G715" s="768">
        <v>4812060.46</v>
      </c>
      <c r="H715" s="768">
        <v>0</v>
      </c>
      <c r="I715" s="768">
        <v>4812060.46</v>
      </c>
    </row>
    <row r="716" spans="2:9" x14ac:dyDescent="0.2">
      <c r="B716" s="274">
        <v>6</v>
      </c>
      <c r="C716" s="826" t="s">
        <v>3731</v>
      </c>
      <c r="D716" s="273" t="s">
        <v>2319</v>
      </c>
      <c r="E716" s="768">
        <v>0</v>
      </c>
      <c r="F716" s="768">
        <v>0</v>
      </c>
      <c r="G716" s="768">
        <v>0</v>
      </c>
      <c r="H716" s="768">
        <v>2200</v>
      </c>
      <c r="I716" s="768">
        <v>-2200</v>
      </c>
    </row>
    <row r="717" spans="2:9" x14ac:dyDescent="0.2">
      <c r="B717" s="274">
        <v>6</v>
      </c>
      <c r="C717" s="826" t="s">
        <v>601</v>
      </c>
      <c r="D717" s="273" t="s">
        <v>1200</v>
      </c>
      <c r="E717" s="768">
        <v>0</v>
      </c>
      <c r="F717" s="768">
        <v>101755336.84</v>
      </c>
      <c r="G717" s="768">
        <v>101755336.84</v>
      </c>
      <c r="H717" s="768">
        <v>20174246.760000002</v>
      </c>
      <c r="I717" s="768">
        <v>81581090.079999998</v>
      </c>
    </row>
    <row r="718" spans="2:9" x14ac:dyDescent="0.2">
      <c r="B718" s="274">
        <v>6</v>
      </c>
      <c r="C718" s="826" t="s">
        <v>3732</v>
      </c>
      <c r="D718" s="273" t="s">
        <v>602</v>
      </c>
      <c r="E718" s="768">
        <v>0</v>
      </c>
      <c r="F718" s="768">
        <v>0</v>
      </c>
      <c r="G718" s="768">
        <v>0</v>
      </c>
      <c r="H718" s="768">
        <v>2200</v>
      </c>
      <c r="I718" s="768">
        <v>-2200</v>
      </c>
    </row>
    <row r="719" spans="2:9" x14ac:dyDescent="0.2">
      <c r="B719" s="274">
        <v>6</v>
      </c>
      <c r="C719" s="826" t="s">
        <v>3733</v>
      </c>
      <c r="D719" s="273" t="s">
        <v>164</v>
      </c>
      <c r="E719" s="768">
        <v>0</v>
      </c>
      <c r="F719" s="768">
        <v>6134089.8399999999</v>
      </c>
      <c r="G719" s="768">
        <v>6134089.8399999999</v>
      </c>
      <c r="H719" s="768">
        <v>672750</v>
      </c>
      <c r="I719" s="768">
        <v>5461339.8399999999</v>
      </c>
    </row>
    <row r="720" spans="2:9" x14ac:dyDescent="0.2">
      <c r="B720" s="274">
        <v>6</v>
      </c>
      <c r="C720" s="826" t="s">
        <v>3734</v>
      </c>
      <c r="D720" s="273" t="s">
        <v>3735</v>
      </c>
      <c r="E720" s="768">
        <v>0</v>
      </c>
      <c r="F720" s="768">
        <v>75000000</v>
      </c>
      <c r="G720" s="768">
        <v>75000000</v>
      </c>
      <c r="H720" s="768">
        <v>0</v>
      </c>
      <c r="I720" s="768">
        <v>75000000</v>
      </c>
    </row>
    <row r="721" spans="2:9" x14ac:dyDescent="0.2">
      <c r="B721" s="274">
        <v>6</v>
      </c>
      <c r="C721" s="826" t="s">
        <v>1829</v>
      </c>
      <c r="D721" s="273" t="s">
        <v>1830</v>
      </c>
      <c r="E721" s="768">
        <v>0</v>
      </c>
      <c r="F721" s="768">
        <v>2393047</v>
      </c>
      <c r="G721" s="768">
        <v>2393047</v>
      </c>
      <c r="H721" s="768">
        <v>588400</v>
      </c>
      <c r="I721" s="768">
        <v>1804647</v>
      </c>
    </row>
    <row r="722" spans="2:9" x14ac:dyDescent="0.2">
      <c r="B722" s="274">
        <v>6</v>
      </c>
      <c r="C722" s="826" t="s">
        <v>2425</v>
      </c>
      <c r="D722" s="273" t="s">
        <v>2320</v>
      </c>
      <c r="E722" s="768">
        <v>0</v>
      </c>
      <c r="F722" s="768">
        <v>0</v>
      </c>
      <c r="G722" s="768">
        <v>0</v>
      </c>
      <c r="H722" s="768">
        <v>25000</v>
      </c>
      <c r="I722" s="768">
        <v>-25000</v>
      </c>
    </row>
    <row r="723" spans="2:9" x14ac:dyDescent="0.2">
      <c r="B723" s="274">
        <v>6</v>
      </c>
      <c r="C723" s="826" t="s">
        <v>3100</v>
      </c>
      <c r="D723" s="273" t="s">
        <v>2695</v>
      </c>
      <c r="E723" s="768">
        <v>0</v>
      </c>
      <c r="F723" s="768">
        <v>18228200</v>
      </c>
      <c r="G723" s="768">
        <v>18228200</v>
      </c>
      <c r="H723" s="768">
        <v>18228200</v>
      </c>
      <c r="I723" s="768">
        <v>0</v>
      </c>
    </row>
    <row r="724" spans="2:9" x14ac:dyDescent="0.2">
      <c r="B724" s="274">
        <v>6</v>
      </c>
      <c r="C724" s="826" t="s">
        <v>3736</v>
      </c>
      <c r="D724" s="273" t="s">
        <v>3737</v>
      </c>
      <c r="E724" s="768">
        <v>0</v>
      </c>
      <c r="F724" s="768">
        <v>0</v>
      </c>
      <c r="G724" s="768">
        <v>0</v>
      </c>
      <c r="H724" s="768">
        <v>657696.76</v>
      </c>
      <c r="I724" s="768">
        <v>-657696.76</v>
      </c>
    </row>
    <row r="725" spans="2:9" x14ac:dyDescent="0.2">
      <c r="B725" s="274">
        <v>6</v>
      </c>
      <c r="C725" s="826" t="s">
        <v>1313</v>
      </c>
      <c r="D725" s="273" t="s">
        <v>242</v>
      </c>
      <c r="E725" s="768">
        <v>495000000</v>
      </c>
      <c r="F725" s="768">
        <v>-509226148.57999998</v>
      </c>
      <c r="G725" s="768">
        <v>-14226148.58</v>
      </c>
      <c r="H725" s="768">
        <v>0</v>
      </c>
      <c r="I725" s="768">
        <v>-14226148.58</v>
      </c>
    </row>
    <row r="727" spans="2:9" x14ac:dyDescent="0.2">
      <c r="B727" s="766">
        <v>7</v>
      </c>
      <c r="C727" s="824"/>
      <c r="D727" s="771" t="s">
        <v>2304</v>
      </c>
      <c r="E727" s="825">
        <v>2650000000</v>
      </c>
      <c r="F727" s="825">
        <v>0</v>
      </c>
      <c r="G727" s="825">
        <v>2650000000</v>
      </c>
      <c r="H727" s="825">
        <v>914012641.51999998</v>
      </c>
      <c r="I727" s="825">
        <v>1735987358.48</v>
      </c>
    </row>
    <row r="728" spans="2:9" x14ac:dyDescent="0.2">
      <c r="B728" s="766"/>
      <c r="C728" s="824"/>
      <c r="D728" s="771"/>
      <c r="E728" s="825"/>
      <c r="F728" s="825"/>
      <c r="G728" s="825"/>
      <c r="H728" s="825"/>
      <c r="I728" s="825"/>
    </row>
    <row r="729" spans="2:9" s="771" customFormat="1" x14ac:dyDescent="0.2">
      <c r="B729" s="766">
        <v>7</v>
      </c>
      <c r="C729" s="824" t="s">
        <v>946</v>
      </c>
      <c r="D729" s="771" t="s">
        <v>557</v>
      </c>
      <c r="E729" s="825">
        <v>2650000000</v>
      </c>
      <c r="F729" s="825">
        <v>0</v>
      </c>
      <c r="G729" s="825">
        <v>2650000000</v>
      </c>
      <c r="H729" s="825">
        <v>914012641.51999998</v>
      </c>
      <c r="I729" s="825">
        <v>1735987358.48</v>
      </c>
    </row>
    <row r="730" spans="2:9" x14ac:dyDescent="0.2">
      <c r="B730" s="274">
        <v>7</v>
      </c>
      <c r="C730" s="826" t="s">
        <v>693</v>
      </c>
      <c r="D730" s="273" t="s">
        <v>802</v>
      </c>
      <c r="E730" s="768">
        <v>2650000000</v>
      </c>
      <c r="F730" s="768">
        <v>0</v>
      </c>
      <c r="G730" s="768">
        <v>2650000000</v>
      </c>
      <c r="H730" s="768">
        <v>914012641.51999998</v>
      </c>
      <c r="I730" s="768">
        <v>1735987358.48</v>
      </c>
    </row>
    <row r="731" spans="2:9" x14ac:dyDescent="0.2">
      <c r="B731" s="274">
        <v>7</v>
      </c>
      <c r="C731" s="826" t="s">
        <v>1155</v>
      </c>
      <c r="D731" s="273" t="s">
        <v>558</v>
      </c>
      <c r="E731" s="768">
        <v>0</v>
      </c>
      <c r="F731" s="768">
        <v>630441213.41999996</v>
      </c>
      <c r="G731" s="768">
        <v>630441213.41999996</v>
      </c>
      <c r="H731" s="768">
        <v>191272902.19999999</v>
      </c>
      <c r="I731" s="768">
        <v>439168311.22000003</v>
      </c>
    </row>
    <row r="732" spans="2:9" x14ac:dyDescent="0.2">
      <c r="B732" s="274">
        <v>7</v>
      </c>
      <c r="C732" s="826" t="s">
        <v>1157</v>
      </c>
      <c r="D732" s="273" t="s">
        <v>1158</v>
      </c>
      <c r="E732" s="768">
        <v>0</v>
      </c>
      <c r="F732" s="768">
        <v>0</v>
      </c>
      <c r="G732" s="768">
        <v>0</v>
      </c>
      <c r="H732" s="768">
        <v>102168.75</v>
      </c>
      <c r="I732" s="768">
        <v>-102168.75</v>
      </c>
    </row>
    <row r="733" spans="2:9" x14ac:dyDescent="0.2">
      <c r="B733" s="274">
        <v>7</v>
      </c>
      <c r="C733" s="826" t="s">
        <v>107</v>
      </c>
      <c r="D733" s="273" t="s">
        <v>108</v>
      </c>
      <c r="E733" s="768">
        <v>0</v>
      </c>
      <c r="F733" s="768">
        <v>81389135.530000001</v>
      </c>
      <c r="G733" s="768">
        <v>81389135.530000001</v>
      </c>
      <c r="H733" s="768">
        <v>26876229.66</v>
      </c>
      <c r="I733" s="768">
        <v>54512905.869999997</v>
      </c>
    </row>
    <row r="734" spans="2:9" x14ac:dyDescent="0.2">
      <c r="B734" s="274">
        <v>7</v>
      </c>
      <c r="C734" s="826" t="s">
        <v>109</v>
      </c>
      <c r="D734" s="273" t="s">
        <v>110</v>
      </c>
      <c r="E734" s="768">
        <v>0</v>
      </c>
      <c r="F734" s="768">
        <v>17702679.559999999</v>
      </c>
      <c r="G734" s="768">
        <v>17702679.559999999</v>
      </c>
      <c r="H734" s="768">
        <v>6436751.3799999999</v>
      </c>
      <c r="I734" s="768">
        <v>11265928.18</v>
      </c>
    </row>
    <row r="735" spans="2:9" x14ac:dyDescent="0.2">
      <c r="B735" s="274">
        <v>7</v>
      </c>
      <c r="C735" s="826" t="s">
        <v>111</v>
      </c>
      <c r="D735" s="273" t="s">
        <v>603</v>
      </c>
      <c r="E735" s="768">
        <v>0</v>
      </c>
      <c r="F735" s="768">
        <v>5632248.1699999999</v>
      </c>
      <c r="G735" s="768">
        <v>5632248.1699999999</v>
      </c>
      <c r="H735" s="768">
        <v>1103622.8500000001</v>
      </c>
      <c r="I735" s="768">
        <v>4528625.32</v>
      </c>
    </row>
    <row r="736" spans="2:9" x14ac:dyDescent="0.2">
      <c r="B736" s="274">
        <v>7</v>
      </c>
      <c r="C736" s="826" t="s">
        <v>604</v>
      </c>
      <c r="D736" s="273" t="s">
        <v>827</v>
      </c>
      <c r="E736" s="768">
        <v>0</v>
      </c>
      <c r="F736" s="768">
        <v>64787494.270000003</v>
      </c>
      <c r="G736" s="768">
        <v>64787494.270000003</v>
      </c>
      <c r="H736" s="768">
        <v>19495047.640000001</v>
      </c>
      <c r="I736" s="768">
        <v>45292446.630000003</v>
      </c>
    </row>
    <row r="737" spans="2:9" x14ac:dyDescent="0.2">
      <c r="B737" s="274">
        <v>7</v>
      </c>
      <c r="C737" s="826" t="s">
        <v>605</v>
      </c>
      <c r="D737" s="273" t="s">
        <v>1831</v>
      </c>
      <c r="E737" s="768">
        <v>0</v>
      </c>
      <c r="F737" s="768">
        <v>38836029.810000002</v>
      </c>
      <c r="G737" s="768">
        <v>38836029.810000002</v>
      </c>
      <c r="H737" s="768">
        <v>11921481.57</v>
      </c>
      <c r="I737" s="768">
        <v>26914548.239999998</v>
      </c>
    </row>
    <row r="738" spans="2:9" x14ac:dyDescent="0.2">
      <c r="B738" s="274">
        <v>7</v>
      </c>
      <c r="C738" s="826" t="s">
        <v>606</v>
      </c>
      <c r="D738" s="273" t="s">
        <v>828</v>
      </c>
      <c r="E738" s="768">
        <v>0</v>
      </c>
      <c r="F738" s="768">
        <v>2893888</v>
      </c>
      <c r="G738" s="768">
        <v>2893888</v>
      </c>
      <c r="H738" s="768">
        <v>2380203.89</v>
      </c>
      <c r="I738" s="768">
        <v>513684.11</v>
      </c>
    </row>
    <row r="739" spans="2:9" x14ac:dyDescent="0.2">
      <c r="B739" s="274">
        <v>7</v>
      </c>
      <c r="C739" s="826" t="s">
        <v>112</v>
      </c>
      <c r="D739" s="273" t="s">
        <v>2355</v>
      </c>
      <c r="E739" s="768">
        <v>0</v>
      </c>
      <c r="F739" s="768">
        <v>71000000</v>
      </c>
      <c r="G739" s="768">
        <v>71000000</v>
      </c>
      <c r="H739" s="768">
        <v>16343907.18</v>
      </c>
      <c r="I739" s="768">
        <v>54656092.82</v>
      </c>
    </row>
    <row r="740" spans="2:9" x14ac:dyDescent="0.2">
      <c r="B740" s="274">
        <v>7</v>
      </c>
      <c r="C740" s="826" t="s">
        <v>893</v>
      </c>
      <c r="D740" s="273" t="s">
        <v>894</v>
      </c>
      <c r="E740" s="768">
        <v>0</v>
      </c>
      <c r="F740" s="768">
        <v>8100000</v>
      </c>
      <c r="G740" s="768">
        <v>8100000</v>
      </c>
      <c r="H740" s="768">
        <v>4403544.62</v>
      </c>
      <c r="I740" s="768">
        <v>3696455.38</v>
      </c>
    </row>
    <row r="741" spans="2:9" x14ac:dyDescent="0.2">
      <c r="B741" s="274">
        <v>7</v>
      </c>
      <c r="C741" s="826" t="s">
        <v>895</v>
      </c>
      <c r="D741" s="273" t="s">
        <v>591</v>
      </c>
      <c r="E741" s="768">
        <v>0</v>
      </c>
      <c r="F741" s="768">
        <v>30510960</v>
      </c>
      <c r="G741" s="768">
        <v>30510960</v>
      </c>
      <c r="H741" s="768">
        <v>9090073.5299999993</v>
      </c>
      <c r="I741" s="768">
        <v>21420886.469999999</v>
      </c>
    </row>
    <row r="742" spans="2:9" x14ac:dyDescent="0.2">
      <c r="B742" s="274">
        <v>7</v>
      </c>
      <c r="C742" s="826" t="s">
        <v>896</v>
      </c>
      <c r="D742" s="273" t="s">
        <v>897</v>
      </c>
      <c r="E742" s="768">
        <v>0</v>
      </c>
      <c r="F742" s="768">
        <v>14132208</v>
      </c>
      <c r="G742" s="768">
        <v>14132208</v>
      </c>
      <c r="H742" s="768">
        <v>3264439.12</v>
      </c>
      <c r="I742" s="768">
        <v>10867768.880000001</v>
      </c>
    </row>
    <row r="743" spans="2:9" x14ac:dyDescent="0.2">
      <c r="B743" s="274">
        <v>7</v>
      </c>
      <c r="C743" s="826" t="s">
        <v>898</v>
      </c>
      <c r="D743" s="273" t="s">
        <v>899</v>
      </c>
      <c r="E743" s="768">
        <v>0</v>
      </c>
      <c r="F743" s="768">
        <v>17482106.48</v>
      </c>
      <c r="G743" s="768">
        <v>17482106.48</v>
      </c>
      <c r="H743" s="768">
        <v>5375463.1799999997</v>
      </c>
      <c r="I743" s="768">
        <v>12106643.300000001</v>
      </c>
    </row>
    <row r="744" spans="2:9" x14ac:dyDescent="0.2">
      <c r="B744" s="274">
        <v>7</v>
      </c>
      <c r="C744" s="826" t="s">
        <v>3101</v>
      </c>
      <c r="D744" s="273" t="s">
        <v>3102</v>
      </c>
      <c r="E744" s="768">
        <v>0</v>
      </c>
      <c r="F744" s="768">
        <v>0</v>
      </c>
      <c r="G744" s="768">
        <v>0</v>
      </c>
      <c r="H744" s="768">
        <v>79317.119999999995</v>
      </c>
      <c r="I744" s="768">
        <v>-79317.119999999995</v>
      </c>
    </row>
    <row r="745" spans="2:9" x14ac:dyDescent="0.2">
      <c r="B745" s="274">
        <v>7</v>
      </c>
      <c r="C745" s="826" t="s">
        <v>119</v>
      </c>
      <c r="D745" s="273" t="s">
        <v>1312</v>
      </c>
      <c r="E745" s="768">
        <v>0</v>
      </c>
      <c r="F745" s="768">
        <v>34425000</v>
      </c>
      <c r="G745" s="768">
        <v>34425000</v>
      </c>
      <c r="H745" s="768">
        <v>8850283.7200000007</v>
      </c>
      <c r="I745" s="768">
        <v>25574716.280000001</v>
      </c>
    </row>
    <row r="746" spans="2:9" x14ac:dyDescent="0.2">
      <c r="B746" s="274">
        <v>7</v>
      </c>
      <c r="C746" s="826" t="s">
        <v>1121</v>
      </c>
      <c r="D746" s="273" t="s">
        <v>307</v>
      </c>
      <c r="E746" s="768">
        <v>0</v>
      </c>
      <c r="F746" s="768">
        <v>13399334.52</v>
      </c>
      <c r="G746" s="768">
        <v>13399334.52</v>
      </c>
      <c r="H746" s="768">
        <v>2965457.55</v>
      </c>
      <c r="I746" s="768">
        <v>10433876.970000001</v>
      </c>
    </row>
    <row r="747" spans="2:9" x14ac:dyDescent="0.2">
      <c r="B747" s="274">
        <v>7</v>
      </c>
      <c r="C747" s="826" t="s">
        <v>534</v>
      </c>
      <c r="D747" s="273" t="s">
        <v>2717</v>
      </c>
      <c r="E747" s="768">
        <v>0</v>
      </c>
      <c r="F747" s="768">
        <v>77375280</v>
      </c>
      <c r="G747" s="768">
        <v>77375280</v>
      </c>
      <c r="H747" s="768">
        <v>26346906.23</v>
      </c>
      <c r="I747" s="768">
        <v>51028373.770000003</v>
      </c>
    </row>
    <row r="748" spans="2:9" x14ac:dyDescent="0.2">
      <c r="B748" s="274">
        <v>7</v>
      </c>
      <c r="C748" s="826" t="s">
        <v>535</v>
      </c>
      <c r="D748" s="273" t="s">
        <v>30</v>
      </c>
      <c r="E748" s="768">
        <v>0</v>
      </c>
      <c r="F748" s="768">
        <v>6607953.0099999998</v>
      </c>
      <c r="G748" s="768">
        <v>6607953.0099999998</v>
      </c>
      <c r="H748" s="768">
        <v>22018.5</v>
      </c>
      <c r="I748" s="768">
        <v>6585934.5099999998</v>
      </c>
    </row>
    <row r="749" spans="2:9" x14ac:dyDescent="0.2">
      <c r="B749" s="274">
        <v>7</v>
      </c>
      <c r="C749" s="826" t="s">
        <v>450</v>
      </c>
      <c r="D749" s="273" t="s">
        <v>31</v>
      </c>
      <c r="E749" s="768">
        <v>0</v>
      </c>
      <c r="F749" s="768">
        <v>916766.44</v>
      </c>
      <c r="G749" s="768">
        <v>916766.44</v>
      </c>
      <c r="H749" s="768">
        <v>65465</v>
      </c>
      <c r="I749" s="768">
        <v>851301.44</v>
      </c>
    </row>
    <row r="750" spans="2:9" x14ac:dyDescent="0.2">
      <c r="B750" s="274">
        <v>7</v>
      </c>
      <c r="C750" s="826" t="s">
        <v>451</v>
      </c>
      <c r="D750" s="273" t="s">
        <v>3103</v>
      </c>
      <c r="E750" s="768">
        <v>0</v>
      </c>
      <c r="F750" s="768">
        <v>6227416.9100000001</v>
      </c>
      <c r="G750" s="768">
        <v>6227416.9100000001</v>
      </c>
      <c r="H750" s="768">
        <v>1150336.8</v>
      </c>
      <c r="I750" s="768">
        <v>5077080.1100000003</v>
      </c>
    </row>
    <row r="751" spans="2:9" x14ac:dyDescent="0.2">
      <c r="B751" s="274">
        <v>7</v>
      </c>
      <c r="C751" s="826" t="s">
        <v>452</v>
      </c>
      <c r="D751" s="273" t="s">
        <v>32</v>
      </c>
      <c r="E751" s="768">
        <v>0</v>
      </c>
      <c r="F751" s="768">
        <v>28505370.280000001</v>
      </c>
      <c r="G751" s="768">
        <v>28505370.280000001</v>
      </c>
      <c r="H751" s="768">
        <v>11082809.039999999</v>
      </c>
      <c r="I751" s="768">
        <v>17422561.239999998</v>
      </c>
    </row>
    <row r="752" spans="2:9" x14ac:dyDescent="0.2">
      <c r="B752" s="274">
        <v>7</v>
      </c>
      <c r="C752" s="826" t="s">
        <v>165</v>
      </c>
      <c r="D752" s="273" t="s">
        <v>725</v>
      </c>
      <c r="E752" s="768">
        <v>0</v>
      </c>
      <c r="F752" s="768">
        <v>1198000</v>
      </c>
      <c r="G752" s="768">
        <v>1198000</v>
      </c>
      <c r="H752" s="768">
        <v>0</v>
      </c>
      <c r="I752" s="768">
        <v>1198000</v>
      </c>
    </row>
    <row r="753" spans="2:9" x14ac:dyDescent="0.2">
      <c r="B753" s="274">
        <v>7</v>
      </c>
      <c r="C753" s="826" t="s">
        <v>1546</v>
      </c>
      <c r="D753" s="273" t="s">
        <v>1520</v>
      </c>
      <c r="E753" s="768">
        <v>0</v>
      </c>
      <c r="F753" s="768">
        <v>2663037.41</v>
      </c>
      <c r="G753" s="768">
        <v>2663037.41</v>
      </c>
      <c r="H753" s="768">
        <v>14739.07</v>
      </c>
      <c r="I753" s="768">
        <v>2648298.34</v>
      </c>
    </row>
    <row r="754" spans="2:9" x14ac:dyDescent="0.2">
      <c r="B754" s="274">
        <v>7</v>
      </c>
      <c r="C754" s="826" t="s">
        <v>1628</v>
      </c>
      <c r="D754" s="273" t="s">
        <v>1629</v>
      </c>
      <c r="E754" s="768">
        <v>0</v>
      </c>
      <c r="F754" s="768">
        <v>24770480</v>
      </c>
      <c r="G754" s="768">
        <v>24770480</v>
      </c>
      <c r="H754" s="768">
        <v>7052891.2300000004</v>
      </c>
      <c r="I754" s="768">
        <v>17717588.77</v>
      </c>
    </row>
    <row r="755" spans="2:9" x14ac:dyDescent="0.2">
      <c r="B755" s="274">
        <v>7</v>
      </c>
      <c r="C755" s="826" t="s">
        <v>1630</v>
      </c>
      <c r="D755" s="273" t="s">
        <v>1631</v>
      </c>
      <c r="E755" s="768">
        <v>0</v>
      </c>
      <c r="F755" s="768">
        <v>13532034</v>
      </c>
      <c r="G755" s="768">
        <v>13532034</v>
      </c>
      <c r="H755" s="768">
        <v>9285047.1999999993</v>
      </c>
      <c r="I755" s="768">
        <v>4246986.8</v>
      </c>
    </row>
    <row r="756" spans="2:9" x14ac:dyDescent="0.2">
      <c r="B756" s="274">
        <v>7</v>
      </c>
      <c r="C756" s="826" t="s">
        <v>1632</v>
      </c>
      <c r="D756" s="273" t="s">
        <v>3104</v>
      </c>
      <c r="E756" s="768">
        <v>0</v>
      </c>
      <c r="F756" s="768">
        <v>68353791.030000001</v>
      </c>
      <c r="G756" s="768">
        <v>68353791.030000001</v>
      </c>
      <c r="H756" s="768">
        <v>17564697.370000001</v>
      </c>
      <c r="I756" s="768">
        <v>50789093.659999996</v>
      </c>
    </row>
    <row r="757" spans="2:9" x14ac:dyDescent="0.2">
      <c r="B757" s="274">
        <v>7</v>
      </c>
      <c r="C757" s="826" t="s">
        <v>1453</v>
      </c>
      <c r="D757" s="273" t="s">
        <v>805</v>
      </c>
      <c r="E757" s="768">
        <v>0</v>
      </c>
      <c r="F757" s="768">
        <v>39622253.939999998</v>
      </c>
      <c r="G757" s="768">
        <v>39622253.939999998</v>
      </c>
      <c r="H757" s="768">
        <v>12144854.9</v>
      </c>
      <c r="I757" s="768">
        <v>27477399.039999999</v>
      </c>
    </row>
    <row r="758" spans="2:9" x14ac:dyDescent="0.2">
      <c r="B758" s="274">
        <v>7</v>
      </c>
      <c r="C758" s="826" t="s">
        <v>1454</v>
      </c>
      <c r="D758" s="273" t="s">
        <v>1455</v>
      </c>
      <c r="E758" s="768">
        <v>0</v>
      </c>
      <c r="F758" s="768">
        <v>14106833.08</v>
      </c>
      <c r="G758" s="768">
        <v>14106833.08</v>
      </c>
      <c r="H758" s="768">
        <v>3192045.77</v>
      </c>
      <c r="I758" s="768">
        <v>10914787.310000001</v>
      </c>
    </row>
    <row r="759" spans="2:9" x14ac:dyDescent="0.2">
      <c r="B759" s="274">
        <v>7</v>
      </c>
      <c r="C759" s="826" t="s">
        <v>1547</v>
      </c>
      <c r="D759" s="273" t="s">
        <v>1521</v>
      </c>
      <c r="E759" s="768">
        <v>0</v>
      </c>
      <c r="F759" s="768">
        <v>10206256.939999999</v>
      </c>
      <c r="G759" s="768">
        <v>10206256.939999999</v>
      </c>
      <c r="H759" s="768">
        <v>4648837.66</v>
      </c>
      <c r="I759" s="768">
        <v>5557419.2800000003</v>
      </c>
    </row>
    <row r="760" spans="2:9" x14ac:dyDescent="0.2">
      <c r="B760" s="274">
        <v>7</v>
      </c>
      <c r="C760" s="826" t="s">
        <v>1633</v>
      </c>
      <c r="D760" s="273" t="s">
        <v>1634</v>
      </c>
      <c r="E760" s="768">
        <v>0</v>
      </c>
      <c r="F760" s="768">
        <v>6441881.6799999997</v>
      </c>
      <c r="G760" s="768">
        <v>6441881.6799999997</v>
      </c>
      <c r="H760" s="768">
        <v>71802.149999999994</v>
      </c>
      <c r="I760" s="768">
        <v>6370079.5300000003</v>
      </c>
    </row>
    <row r="761" spans="2:9" x14ac:dyDescent="0.2">
      <c r="B761" s="274">
        <v>7</v>
      </c>
      <c r="C761" s="826" t="s">
        <v>1695</v>
      </c>
      <c r="D761" s="273" t="s">
        <v>1696</v>
      </c>
      <c r="E761" s="768">
        <v>0</v>
      </c>
      <c r="F761" s="768">
        <v>8867282.2400000002</v>
      </c>
      <c r="G761" s="768">
        <v>8867282.2400000002</v>
      </c>
      <c r="H761" s="768">
        <v>4232169.32</v>
      </c>
      <c r="I761" s="768">
        <v>4635112.92</v>
      </c>
    </row>
    <row r="762" spans="2:9" x14ac:dyDescent="0.2">
      <c r="B762" s="274">
        <v>7</v>
      </c>
      <c r="C762" s="826" t="s">
        <v>1456</v>
      </c>
      <c r="D762" s="273" t="s">
        <v>580</v>
      </c>
      <c r="E762" s="768">
        <v>0</v>
      </c>
      <c r="F762" s="768">
        <v>410683199.13999999</v>
      </c>
      <c r="G762" s="768">
        <v>410683199.13999999</v>
      </c>
      <c r="H762" s="768">
        <v>149583208</v>
      </c>
      <c r="I762" s="768">
        <v>261099991.13999999</v>
      </c>
    </row>
    <row r="763" spans="2:9" x14ac:dyDescent="0.2">
      <c r="B763" s="274">
        <v>7</v>
      </c>
      <c r="C763" s="826" t="s">
        <v>1458</v>
      </c>
      <c r="D763" s="273" t="s">
        <v>1459</v>
      </c>
      <c r="E763" s="768">
        <v>0</v>
      </c>
      <c r="F763" s="768">
        <v>14500979</v>
      </c>
      <c r="G763" s="768">
        <v>14500979</v>
      </c>
      <c r="H763" s="768">
        <v>7379418.6600000001</v>
      </c>
      <c r="I763" s="768">
        <v>7121560.3399999999</v>
      </c>
    </row>
    <row r="764" spans="2:9" x14ac:dyDescent="0.2">
      <c r="B764" s="274">
        <v>7</v>
      </c>
      <c r="C764" s="826" t="s">
        <v>1460</v>
      </c>
      <c r="D764" s="273" t="s">
        <v>830</v>
      </c>
      <c r="E764" s="768">
        <v>0</v>
      </c>
      <c r="F764" s="768">
        <v>60713822.75</v>
      </c>
      <c r="G764" s="768">
        <v>60713822.75</v>
      </c>
      <c r="H764" s="768">
        <v>28155074.18</v>
      </c>
      <c r="I764" s="768">
        <v>32558748.57</v>
      </c>
    </row>
    <row r="765" spans="2:9" x14ac:dyDescent="0.2">
      <c r="B765" s="274">
        <v>7</v>
      </c>
      <c r="C765" s="826" t="s">
        <v>1461</v>
      </c>
      <c r="D765" s="273" t="s">
        <v>1462</v>
      </c>
      <c r="E765" s="768">
        <v>0</v>
      </c>
      <c r="F765" s="768">
        <v>4593557.47</v>
      </c>
      <c r="G765" s="768">
        <v>4593557.47</v>
      </c>
      <c r="H765" s="768">
        <v>1335651.76</v>
      </c>
      <c r="I765" s="768">
        <v>3257905.71</v>
      </c>
    </row>
    <row r="766" spans="2:9" x14ac:dyDescent="0.2">
      <c r="B766" s="274">
        <v>7</v>
      </c>
      <c r="C766" s="826" t="s">
        <v>1463</v>
      </c>
      <c r="D766" s="273" t="s">
        <v>1832</v>
      </c>
      <c r="E766" s="768">
        <v>0</v>
      </c>
      <c r="F766" s="768">
        <v>234681000</v>
      </c>
      <c r="G766" s="768">
        <v>234681000</v>
      </c>
      <c r="H766" s="768">
        <v>77484133.079999998</v>
      </c>
      <c r="I766" s="768">
        <v>157196866.91999999</v>
      </c>
    </row>
    <row r="767" spans="2:9" x14ac:dyDescent="0.2">
      <c r="B767" s="274">
        <v>7</v>
      </c>
      <c r="C767" s="826" t="s">
        <v>1464</v>
      </c>
      <c r="D767" s="273" t="s">
        <v>114</v>
      </c>
      <c r="E767" s="768">
        <v>0</v>
      </c>
      <c r="F767" s="768">
        <v>51144668.799999997</v>
      </c>
      <c r="G767" s="768">
        <v>51144668.799999997</v>
      </c>
      <c r="H767" s="768">
        <v>20890845.859999999</v>
      </c>
      <c r="I767" s="768">
        <v>30253822.940000001</v>
      </c>
    </row>
    <row r="768" spans="2:9" x14ac:dyDescent="0.2">
      <c r="B768" s="274">
        <v>7</v>
      </c>
      <c r="C768" s="826" t="s">
        <v>115</v>
      </c>
      <c r="D768" s="273" t="s">
        <v>816</v>
      </c>
      <c r="E768" s="768">
        <v>0</v>
      </c>
      <c r="F768" s="768">
        <v>14765485.85</v>
      </c>
      <c r="G768" s="768">
        <v>14765485.85</v>
      </c>
      <c r="H768" s="768">
        <v>8194960.8099999996</v>
      </c>
      <c r="I768" s="768">
        <v>6570525.04</v>
      </c>
    </row>
    <row r="769" spans="2:9" x14ac:dyDescent="0.2">
      <c r="B769" s="274">
        <v>7</v>
      </c>
      <c r="C769" s="826" t="s">
        <v>1122</v>
      </c>
      <c r="D769" s="273" t="s">
        <v>1172</v>
      </c>
      <c r="E769" s="768">
        <v>0</v>
      </c>
      <c r="F769" s="768">
        <v>206705.75</v>
      </c>
      <c r="G769" s="768">
        <v>206705.75</v>
      </c>
      <c r="H769" s="768">
        <v>28915.1</v>
      </c>
      <c r="I769" s="768">
        <v>177790.65</v>
      </c>
    </row>
    <row r="770" spans="2:9" x14ac:dyDescent="0.2">
      <c r="B770" s="274">
        <v>7</v>
      </c>
      <c r="C770" s="826" t="s">
        <v>1123</v>
      </c>
      <c r="D770" s="273" t="s">
        <v>817</v>
      </c>
      <c r="E770" s="768">
        <v>0</v>
      </c>
      <c r="F770" s="768">
        <v>6137156.5999999996</v>
      </c>
      <c r="G770" s="768">
        <v>6137156.5999999996</v>
      </c>
      <c r="H770" s="768">
        <v>48030.05</v>
      </c>
      <c r="I770" s="768">
        <v>6089126.5499999998</v>
      </c>
    </row>
    <row r="771" spans="2:9" x14ac:dyDescent="0.2">
      <c r="B771" s="274">
        <v>7</v>
      </c>
      <c r="C771" s="826" t="s">
        <v>831</v>
      </c>
      <c r="D771" s="273" t="s">
        <v>832</v>
      </c>
      <c r="E771" s="768">
        <v>0</v>
      </c>
      <c r="F771" s="768">
        <v>14595031.58</v>
      </c>
      <c r="G771" s="768">
        <v>14595031.58</v>
      </c>
      <c r="H771" s="768">
        <v>4408421.41</v>
      </c>
      <c r="I771" s="768">
        <v>10186610.17</v>
      </c>
    </row>
    <row r="772" spans="2:9" x14ac:dyDescent="0.2">
      <c r="B772" s="274">
        <v>7</v>
      </c>
      <c r="C772" s="826" t="s">
        <v>854</v>
      </c>
      <c r="D772" s="273" t="s">
        <v>3738</v>
      </c>
      <c r="E772" s="768">
        <v>0</v>
      </c>
      <c r="F772" s="768">
        <v>9344791.3399999999</v>
      </c>
      <c r="G772" s="768">
        <v>9344791.3399999999</v>
      </c>
      <c r="H772" s="768">
        <v>1657757.09</v>
      </c>
      <c r="I772" s="768">
        <v>7687034.25</v>
      </c>
    </row>
    <row r="773" spans="2:9" x14ac:dyDescent="0.2">
      <c r="B773" s="274">
        <v>7</v>
      </c>
      <c r="C773" s="826" t="s">
        <v>116</v>
      </c>
      <c r="D773" s="273" t="s">
        <v>806</v>
      </c>
      <c r="E773" s="768">
        <v>0</v>
      </c>
      <c r="F773" s="768">
        <v>1379542416.3699999</v>
      </c>
      <c r="G773" s="768">
        <v>1379542416.3699999</v>
      </c>
      <c r="H773" s="768">
        <v>509372632.16000003</v>
      </c>
      <c r="I773" s="768">
        <v>870169784.21000004</v>
      </c>
    </row>
    <row r="774" spans="2:9" x14ac:dyDescent="0.2">
      <c r="B774" s="274">
        <v>7</v>
      </c>
      <c r="C774" s="826" t="s">
        <v>118</v>
      </c>
      <c r="D774" s="273" t="s">
        <v>592</v>
      </c>
      <c r="E774" s="768">
        <v>0</v>
      </c>
      <c r="F774" s="768">
        <v>15597768.050000001</v>
      </c>
      <c r="G774" s="768">
        <v>15597768.050000001</v>
      </c>
      <c r="H774" s="768">
        <v>5872233.8099999996</v>
      </c>
      <c r="I774" s="768">
        <v>9725534.2400000002</v>
      </c>
    </row>
    <row r="775" spans="2:9" x14ac:dyDescent="0.2">
      <c r="B775" s="274">
        <v>7</v>
      </c>
      <c r="C775" s="826" t="s">
        <v>615</v>
      </c>
      <c r="D775" s="273" t="s">
        <v>120</v>
      </c>
      <c r="E775" s="768">
        <v>0</v>
      </c>
      <c r="F775" s="768">
        <v>18381684.219999999</v>
      </c>
      <c r="G775" s="768">
        <v>18381684.219999999</v>
      </c>
      <c r="H775" s="768">
        <v>8824606.3200000003</v>
      </c>
      <c r="I775" s="768">
        <v>9557077.9000000004</v>
      </c>
    </row>
    <row r="776" spans="2:9" x14ac:dyDescent="0.2">
      <c r="B776" s="274">
        <v>7</v>
      </c>
      <c r="C776" s="826" t="s">
        <v>864</v>
      </c>
      <c r="D776" s="273" t="s">
        <v>865</v>
      </c>
      <c r="E776" s="768">
        <v>0</v>
      </c>
      <c r="F776" s="768">
        <v>14484602.02</v>
      </c>
      <c r="G776" s="768">
        <v>14484602.02</v>
      </c>
      <c r="H776" s="768">
        <v>12640787.050000001</v>
      </c>
      <c r="I776" s="768">
        <v>1843814.97</v>
      </c>
    </row>
    <row r="777" spans="2:9" x14ac:dyDescent="0.2">
      <c r="B777" s="274">
        <v>7</v>
      </c>
      <c r="C777" s="826" t="s">
        <v>1833</v>
      </c>
      <c r="D777" s="273" t="s">
        <v>1834</v>
      </c>
      <c r="E777" s="768">
        <v>0</v>
      </c>
      <c r="F777" s="768">
        <v>14958363.23</v>
      </c>
      <c r="G777" s="768">
        <v>14958363.23</v>
      </c>
      <c r="H777" s="768">
        <v>5059173.5</v>
      </c>
      <c r="I777" s="768">
        <v>9899189.7300000004</v>
      </c>
    </row>
    <row r="778" spans="2:9" x14ac:dyDescent="0.2">
      <c r="B778" s="274">
        <v>7</v>
      </c>
      <c r="C778" s="826" t="s">
        <v>453</v>
      </c>
      <c r="D778" s="273" t="s">
        <v>454</v>
      </c>
      <c r="E778" s="768">
        <v>0</v>
      </c>
      <c r="F778" s="768">
        <v>1045068061.22</v>
      </c>
      <c r="G778" s="768">
        <v>1045068061.22</v>
      </c>
      <c r="H778" s="768">
        <v>366883202.97000003</v>
      </c>
      <c r="I778" s="768">
        <v>678184858.25</v>
      </c>
    </row>
    <row r="779" spans="2:9" x14ac:dyDescent="0.2">
      <c r="B779" s="274">
        <v>7</v>
      </c>
      <c r="C779" s="826" t="s">
        <v>455</v>
      </c>
      <c r="D779" s="273" t="s">
        <v>833</v>
      </c>
      <c r="E779" s="768">
        <v>0</v>
      </c>
      <c r="F779" s="768">
        <v>40083712</v>
      </c>
      <c r="G779" s="768">
        <v>40083712</v>
      </c>
      <c r="H779" s="768">
        <v>14765314.34</v>
      </c>
      <c r="I779" s="768">
        <v>25318397.66</v>
      </c>
    </row>
    <row r="780" spans="2:9" x14ac:dyDescent="0.2">
      <c r="B780" s="274">
        <v>7</v>
      </c>
      <c r="C780" s="826" t="s">
        <v>1124</v>
      </c>
      <c r="D780" s="273" t="s">
        <v>834</v>
      </c>
      <c r="E780" s="768">
        <v>0</v>
      </c>
      <c r="F780" s="768">
        <v>19055195</v>
      </c>
      <c r="G780" s="768">
        <v>19055195</v>
      </c>
      <c r="H780" s="768">
        <v>2076576.89</v>
      </c>
      <c r="I780" s="768">
        <v>16978618.109999999</v>
      </c>
    </row>
    <row r="781" spans="2:9" x14ac:dyDescent="0.2">
      <c r="B781" s="274">
        <v>7</v>
      </c>
      <c r="C781" s="826" t="s">
        <v>456</v>
      </c>
      <c r="D781" s="273" t="s">
        <v>835</v>
      </c>
      <c r="E781" s="768">
        <v>0</v>
      </c>
      <c r="F781" s="768">
        <v>168708648</v>
      </c>
      <c r="G781" s="768">
        <v>168708648</v>
      </c>
      <c r="H781" s="768">
        <v>78669010.579999998</v>
      </c>
      <c r="I781" s="768">
        <v>90039637.420000002</v>
      </c>
    </row>
    <row r="782" spans="2:9" x14ac:dyDescent="0.2">
      <c r="B782" s="274">
        <v>7</v>
      </c>
      <c r="C782" s="826" t="s">
        <v>855</v>
      </c>
      <c r="D782" s="273" t="s">
        <v>1097</v>
      </c>
      <c r="E782" s="768">
        <v>0</v>
      </c>
      <c r="F782" s="768">
        <v>19550691.390000001</v>
      </c>
      <c r="G782" s="768">
        <v>19550691.390000001</v>
      </c>
      <c r="H782" s="768">
        <v>7950692.1100000003</v>
      </c>
      <c r="I782" s="768">
        <v>11599999.279999999</v>
      </c>
    </row>
    <row r="783" spans="2:9" x14ac:dyDescent="0.2">
      <c r="B783" s="274">
        <v>7</v>
      </c>
      <c r="C783" s="826" t="s">
        <v>1697</v>
      </c>
      <c r="D783" s="273" t="s">
        <v>1698</v>
      </c>
      <c r="E783" s="768">
        <v>0</v>
      </c>
      <c r="F783" s="768">
        <v>20150571.57</v>
      </c>
      <c r="G783" s="768">
        <v>20150571.57</v>
      </c>
      <c r="H783" s="768">
        <v>4321981.43</v>
      </c>
      <c r="I783" s="768">
        <v>15828590.140000001</v>
      </c>
    </row>
    <row r="784" spans="2:9" x14ac:dyDescent="0.2">
      <c r="B784" s="274">
        <v>7</v>
      </c>
      <c r="C784" s="826" t="s">
        <v>1746</v>
      </c>
      <c r="D784" s="273" t="s">
        <v>1724</v>
      </c>
      <c r="E784" s="768">
        <v>0</v>
      </c>
      <c r="F784" s="768">
        <v>3503119.67</v>
      </c>
      <c r="G784" s="768">
        <v>3503119.67</v>
      </c>
      <c r="H784" s="768">
        <v>2309053.16</v>
      </c>
      <c r="I784" s="768">
        <v>1194066.51</v>
      </c>
    </row>
    <row r="785" spans="2:9" x14ac:dyDescent="0.2">
      <c r="B785" s="274">
        <v>7</v>
      </c>
      <c r="C785" s="826" t="s">
        <v>457</v>
      </c>
      <c r="D785" s="273" t="s">
        <v>807</v>
      </c>
      <c r="E785" s="768">
        <v>0</v>
      </c>
      <c r="F785" s="768">
        <v>186862485.53</v>
      </c>
      <c r="G785" s="768">
        <v>186862485.53</v>
      </c>
      <c r="H785" s="768">
        <v>51639044.259999998</v>
      </c>
      <c r="I785" s="768">
        <v>135223441.27000001</v>
      </c>
    </row>
    <row r="786" spans="2:9" x14ac:dyDescent="0.2">
      <c r="B786" s="274">
        <v>7</v>
      </c>
      <c r="C786" s="826" t="s">
        <v>458</v>
      </c>
      <c r="D786" s="273" t="s">
        <v>459</v>
      </c>
      <c r="E786" s="768">
        <v>0</v>
      </c>
      <c r="F786" s="768">
        <v>11691947.880000001</v>
      </c>
      <c r="G786" s="768">
        <v>11691947.880000001</v>
      </c>
      <c r="H786" s="768">
        <v>3297087.18</v>
      </c>
      <c r="I786" s="768">
        <v>8394860.6999999993</v>
      </c>
    </row>
    <row r="787" spans="2:9" x14ac:dyDescent="0.2">
      <c r="B787" s="274">
        <v>7</v>
      </c>
      <c r="C787" s="826" t="s">
        <v>460</v>
      </c>
      <c r="D787" s="273" t="s">
        <v>836</v>
      </c>
      <c r="E787" s="768">
        <v>0</v>
      </c>
      <c r="F787" s="768">
        <v>53156868.270000003</v>
      </c>
      <c r="G787" s="768">
        <v>53156868.270000003</v>
      </c>
      <c r="H787" s="768">
        <v>14762285.24</v>
      </c>
      <c r="I787" s="768">
        <v>38394583.030000001</v>
      </c>
    </row>
    <row r="788" spans="2:9" x14ac:dyDescent="0.2">
      <c r="B788" s="274">
        <v>7</v>
      </c>
      <c r="C788" s="826" t="s">
        <v>1125</v>
      </c>
      <c r="D788" s="273" t="s">
        <v>1304</v>
      </c>
      <c r="E788" s="768">
        <v>0</v>
      </c>
      <c r="F788" s="768">
        <v>38420520</v>
      </c>
      <c r="G788" s="768">
        <v>38420520</v>
      </c>
      <c r="H788" s="768">
        <v>11079500.359999999</v>
      </c>
      <c r="I788" s="768">
        <v>27341019.640000001</v>
      </c>
    </row>
    <row r="789" spans="2:9" x14ac:dyDescent="0.2">
      <c r="B789" s="274">
        <v>7</v>
      </c>
      <c r="C789" s="826" t="s">
        <v>1126</v>
      </c>
      <c r="D789" s="273" t="s">
        <v>1426</v>
      </c>
      <c r="E789" s="768">
        <v>0</v>
      </c>
      <c r="F789" s="768">
        <v>12580000</v>
      </c>
      <c r="G789" s="768">
        <v>12580000</v>
      </c>
      <c r="H789" s="768">
        <v>778727.3</v>
      </c>
      <c r="I789" s="768">
        <v>11801272.699999999</v>
      </c>
    </row>
    <row r="790" spans="2:9" x14ac:dyDescent="0.2">
      <c r="B790" s="274">
        <v>7</v>
      </c>
      <c r="C790" s="826" t="s">
        <v>1127</v>
      </c>
      <c r="D790" s="273" t="s">
        <v>599</v>
      </c>
      <c r="E790" s="768">
        <v>0</v>
      </c>
      <c r="F790" s="768">
        <v>18500000</v>
      </c>
      <c r="G790" s="768">
        <v>18500000</v>
      </c>
      <c r="H790" s="768">
        <v>5494385.2199999997</v>
      </c>
      <c r="I790" s="768">
        <v>13005614.779999999</v>
      </c>
    </row>
    <row r="791" spans="2:9" x14ac:dyDescent="0.2">
      <c r="B791" s="274">
        <v>7</v>
      </c>
      <c r="C791" s="826" t="s">
        <v>1835</v>
      </c>
      <c r="D791" s="273" t="s">
        <v>1836</v>
      </c>
      <c r="E791" s="768">
        <v>0</v>
      </c>
      <c r="F791" s="768">
        <v>31738149.379999999</v>
      </c>
      <c r="G791" s="768">
        <v>31738149.379999999</v>
      </c>
      <c r="H791" s="768">
        <v>14100391.23</v>
      </c>
      <c r="I791" s="768">
        <v>17637758.149999999</v>
      </c>
    </row>
    <row r="792" spans="2:9" x14ac:dyDescent="0.2">
      <c r="B792" s="274">
        <v>7</v>
      </c>
      <c r="C792" s="826" t="s">
        <v>3105</v>
      </c>
      <c r="D792" s="273" t="s">
        <v>3106</v>
      </c>
      <c r="E792" s="768">
        <v>0</v>
      </c>
      <c r="F792" s="768">
        <v>6275000</v>
      </c>
      <c r="G792" s="768">
        <v>6275000</v>
      </c>
      <c r="H792" s="768">
        <v>219830</v>
      </c>
      <c r="I792" s="768">
        <v>6055170</v>
      </c>
    </row>
    <row r="793" spans="2:9" x14ac:dyDescent="0.2">
      <c r="B793" s="274">
        <v>7</v>
      </c>
      <c r="C793" s="826" t="s">
        <v>3739</v>
      </c>
      <c r="D793" s="273" t="s">
        <v>3740</v>
      </c>
      <c r="E793" s="768">
        <v>0</v>
      </c>
      <c r="F793" s="768">
        <v>14500000</v>
      </c>
      <c r="G793" s="768">
        <v>14500000</v>
      </c>
      <c r="H793" s="768">
        <v>1906837.73</v>
      </c>
      <c r="I793" s="768">
        <v>12593162.27</v>
      </c>
    </row>
    <row r="794" spans="2:9" x14ac:dyDescent="0.2">
      <c r="B794" s="274">
        <v>7</v>
      </c>
      <c r="C794" s="826" t="s">
        <v>726</v>
      </c>
      <c r="D794" s="273" t="s">
        <v>727</v>
      </c>
      <c r="E794" s="768">
        <v>2650000000</v>
      </c>
      <c r="F794" s="768">
        <v>-2647151568.4000001</v>
      </c>
      <c r="G794" s="768">
        <v>2848431.6</v>
      </c>
      <c r="H794" s="768">
        <v>0</v>
      </c>
      <c r="I794" s="768">
        <v>2848431.6</v>
      </c>
    </row>
    <row r="796" spans="2:9" x14ac:dyDescent="0.2">
      <c r="B796" s="766">
        <v>8</v>
      </c>
      <c r="C796" s="824"/>
      <c r="D796" s="771" t="s">
        <v>1094</v>
      </c>
      <c r="E796" s="825">
        <v>7749500000</v>
      </c>
      <c r="F796" s="825">
        <v>0</v>
      </c>
      <c r="G796" s="825">
        <v>7749500000</v>
      </c>
      <c r="H796" s="825">
        <v>648728268.87</v>
      </c>
      <c r="I796" s="825">
        <v>7100771731.1300001</v>
      </c>
    </row>
    <row r="797" spans="2:9" x14ac:dyDescent="0.2">
      <c r="B797" s="766"/>
      <c r="C797" s="824"/>
      <c r="D797" s="771"/>
      <c r="E797" s="825"/>
      <c r="F797" s="825"/>
      <c r="G797" s="825"/>
      <c r="H797" s="825"/>
      <c r="I797" s="825"/>
    </row>
    <row r="798" spans="2:9" s="771" customFormat="1" x14ac:dyDescent="0.2">
      <c r="B798" s="766">
        <v>8</v>
      </c>
      <c r="C798" s="824" t="s">
        <v>946</v>
      </c>
      <c r="D798" s="771" t="s">
        <v>557</v>
      </c>
      <c r="E798" s="825">
        <v>1160000000</v>
      </c>
      <c r="F798" s="825">
        <v>-2245738</v>
      </c>
      <c r="G798" s="825">
        <v>1157754262</v>
      </c>
      <c r="H798" s="825">
        <v>24180008.350000001</v>
      </c>
      <c r="I798" s="825">
        <v>1133574253.6500001</v>
      </c>
    </row>
    <row r="799" spans="2:9" x14ac:dyDescent="0.2">
      <c r="B799" s="274">
        <v>8</v>
      </c>
      <c r="C799" s="826" t="s">
        <v>687</v>
      </c>
      <c r="D799" s="273" t="s">
        <v>878</v>
      </c>
      <c r="E799" s="768">
        <v>1160000000</v>
      </c>
      <c r="F799" s="768">
        <v>-2245738</v>
      </c>
      <c r="G799" s="768">
        <v>1157754262</v>
      </c>
      <c r="H799" s="768">
        <v>24180008.350000001</v>
      </c>
      <c r="I799" s="768">
        <v>1133574253.6500001</v>
      </c>
    </row>
    <row r="800" spans="2:9" x14ac:dyDescent="0.2">
      <c r="B800" s="274">
        <v>8</v>
      </c>
      <c r="C800" s="826" t="s">
        <v>937</v>
      </c>
      <c r="D800" s="273" t="s">
        <v>1171</v>
      </c>
      <c r="E800" s="768">
        <v>0</v>
      </c>
      <c r="F800" s="768">
        <v>298460448.60000002</v>
      </c>
      <c r="G800" s="768">
        <v>298460448.60000002</v>
      </c>
      <c r="H800" s="768">
        <v>24180008.350000001</v>
      </c>
      <c r="I800" s="768">
        <v>274280440.25</v>
      </c>
    </row>
    <row r="801" spans="2:9" x14ac:dyDescent="0.2">
      <c r="B801" s="274">
        <v>8</v>
      </c>
      <c r="C801" s="826" t="s">
        <v>3107</v>
      </c>
      <c r="D801" s="273" t="s">
        <v>566</v>
      </c>
      <c r="E801" s="768">
        <v>0</v>
      </c>
      <c r="F801" s="768">
        <v>2822472</v>
      </c>
      <c r="G801" s="768">
        <v>2822472</v>
      </c>
      <c r="H801" s="768">
        <v>0</v>
      </c>
      <c r="I801" s="768">
        <v>2822472</v>
      </c>
    </row>
    <row r="802" spans="2:9" x14ac:dyDescent="0.2">
      <c r="B802" s="274">
        <v>8</v>
      </c>
      <c r="C802" s="826" t="s">
        <v>938</v>
      </c>
      <c r="D802" s="273" t="s">
        <v>568</v>
      </c>
      <c r="E802" s="768">
        <v>0</v>
      </c>
      <c r="F802" s="768">
        <v>4928918.7699999996</v>
      </c>
      <c r="G802" s="768">
        <v>4928918.7699999996</v>
      </c>
      <c r="H802" s="768">
        <v>1457013.15</v>
      </c>
      <c r="I802" s="768">
        <v>3471905.62</v>
      </c>
    </row>
    <row r="803" spans="2:9" x14ac:dyDescent="0.2">
      <c r="B803" s="274">
        <v>8</v>
      </c>
      <c r="C803" s="826" t="s">
        <v>708</v>
      </c>
      <c r="D803" s="273" t="s">
        <v>1129</v>
      </c>
      <c r="E803" s="768">
        <v>0</v>
      </c>
      <c r="F803" s="768">
        <v>7006000.2400000002</v>
      </c>
      <c r="G803" s="768">
        <v>7006000.2400000002</v>
      </c>
      <c r="H803" s="768">
        <v>2831245</v>
      </c>
      <c r="I803" s="768">
        <v>4174755.24</v>
      </c>
    </row>
    <row r="804" spans="2:9" x14ac:dyDescent="0.2">
      <c r="B804" s="274">
        <v>8</v>
      </c>
      <c r="C804" s="826" t="s">
        <v>1699</v>
      </c>
      <c r="D804" s="273" t="s">
        <v>575</v>
      </c>
      <c r="E804" s="768">
        <v>0</v>
      </c>
      <c r="F804" s="768">
        <v>9703392.3200000003</v>
      </c>
      <c r="G804" s="768">
        <v>9703392.3200000003</v>
      </c>
      <c r="H804" s="768">
        <v>469178</v>
      </c>
      <c r="I804" s="768">
        <v>9234214.3200000003</v>
      </c>
    </row>
    <row r="805" spans="2:9" x14ac:dyDescent="0.2">
      <c r="B805" s="274">
        <v>8</v>
      </c>
      <c r="C805" s="826" t="s">
        <v>3108</v>
      </c>
      <c r="D805" s="273" t="s">
        <v>576</v>
      </c>
      <c r="E805" s="768">
        <v>0</v>
      </c>
      <c r="F805" s="768">
        <v>4748782.55</v>
      </c>
      <c r="G805" s="768">
        <v>4748782.55</v>
      </c>
      <c r="H805" s="768">
        <v>100000</v>
      </c>
      <c r="I805" s="768">
        <v>4648782.55</v>
      </c>
    </row>
    <row r="806" spans="2:9" x14ac:dyDescent="0.2">
      <c r="B806" s="274">
        <v>8</v>
      </c>
      <c r="C806" s="826" t="s">
        <v>1700</v>
      </c>
      <c r="D806" s="273" t="s">
        <v>579</v>
      </c>
      <c r="E806" s="768">
        <v>0</v>
      </c>
      <c r="F806" s="768">
        <v>2841122.75</v>
      </c>
      <c r="G806" s="768">
        <v>2841122.75</v>
      </c>
      <c r="H806" s="768">
        <v>0</v>
      </c>
      <c r="I806" s="768">
        <v>2841122.75</v>
      </c>
    </row>
    <row r="807" spans="2:9" x14ac:dyDescent="0.2">
      <c r="B807" s="274">
        <v>8</v>
      </c>
      <c r="C807" s="826" t="s">
        <v>709</v>
      </c>
      <c r="D807" s="273" t="s">
        <v>586</v>
      </c>
      <c r="E807" s="768">
        <v>0</v>
      </c>
      <c r="F807" s="768">
        <v>29805295.390000001</v>
      </c>
      <c r="G807" s="768">
        <v>29805295.390000001</v>
      </c>
      <c r="H807" s="768">
        <v>121650</v>
      </c>
      <c r="I807" s="768">
        <v>29683645.390000001</v>
      </c>
    </row>
    <row r="808" spans="2:9" x14ac:dyDescent="0.2">
      <c r="B808" s="274">
        <v>8</v>
      </c>
      <c r="C808" s="826" t="s">
        <v>1548</v>
      </c>
      <c r="D808" s="273" t="s">
        <v>0</v>
      </c>
      <c r="E808" s="768">
        <v>0</v>
      </c>
      <c r="F808" s="768">
        <v>405003</v>
      </c>
      <c r="G808" s="768">
        <v>405003</v>
      </c>
      <c r="H808" s="768">
        <v>0</v>
      </c>
      <c r="I808" s="768">
        <v>405003</v>
      </c>
    </row>
    <row r="809" spans="2:9" x14ac:dyDescent="0.2">
      <c r="B809" s="274">
        <v>8</v>
      </c>
      <c r="C809" s="826" t="s">
        <v>3109</v>
      </c>
      <c r="D809" s="273" t="s">
        <v>3110</v>
      </c>
      <c r="E809" s="768">
        <v>0</v>
      </c>
      <c r="F809" s="768">
        <v>1510401.64</v>
      </c>
      <c r="G809" s="768">
        <v>1510401.64</v>
      </c>
      <c r="H809" s="768">
        <v>369400</v>
      </c>
      <c r="I809" s="768">
        <v>1141001.6399999999</v>
      </c>
    </row>
    <row r="810" spans="2:9" x14ac:dyDescent="0.2">
      <c r="B810" s="274">
        <v>8</v>
      </c>
      <c r="C810" s="826" t="s">
        <v>3111</v>
      </c>
      <c r="D810" s="273" t="s">
        <v>1105</v>
      </c>
      <c r="E810" s="768">
        <v>0</v>
      </c>
      <c r="F810" s="768">
        <v>516700</v>
      </c>
      <c r="G810" s="768">
        <v>516700</v>
      </c>
      <c r="H810" s="768">
        <v>0</v>
      </c>
      <c r="I810" s="768">
        <v>516700</v>
      </c>
    </row>
    <row r="811" spans="2:9" x14ac:dyDescent="0.2">
      <c r="B811" s="274">
        <v>8</v>
      </c>
      <c r="C811" s="826" t="s">
        <v>3112</v>
      </c>
      <c r="D811" s="273" t="s">
        <v>1106</v>
      </c>
      <c r="E811" s="768">
        <v>0</v>
      </c>
      <c r="F811" s="768">
        <v>138840</v>
      </c>
      <c r="G811" s="768">
        <v>138840</v>
      </c>
      <c r="H811" s="768">
        <v>0</v>
      </c>
      <c r="I811" s="768">
        <v>138840</v>
      </c>
    </row>
    <row r="812" spans="2:9" x14ac:dyDescent="0.2">
      <c r="B812" s="274">
        <v>8</v>
      </c>
      <c r="C812" s="826" t="s">
        <v>3741</v>
      </c>
      <c r="D812" s="273" t="s">
        <v>1176</v>
      </c>
      <c r="E812" s="768">
        <v>0</v>
      </c>
      <c r="F812" s="768">
        <v>2574880.69</v>
      </c>
      <c r="G812" s="768">
        <v>2574880.69</v>
      </c>
      <c r="H812" s="768">
        <v>0</v>
      </c>
      <c r="I812" s="768">
        <v>2574880.69</v>
      </c>
    </row>
    <row r="813" spans="2:9" x14ac:dyDescent="0.2">
      <c r="B813" s="274">
        <v>8</v>
      </c>
      <c r="C813" s="826" t="s">
        <v>3113</v>
      </c>
      <c r="D813" s="273" t="s">
        <v>1177</v>
      </c>
      <c r="E813" s="768">
        <v>0</v>
      </c>
      <c r="F813" s="768">
        <v>4915754.45</v>
      </c>
      <c r="G813" s="768">
        <v>4915754.45</v>
      </c>
      <c r="H813" s="768">
        <v>160000</v>
      </c>
      <c r="I813" s="768">
        <v>4755754.45</v>
      </c>
    </row>
    <row r="814" spans="2:9" x14ac:dyDescent="0.2">
      <c r="B814" s="274">
        <v>8</v>
      </c>
      <c r="C814" s="826" t="s">
        <v>1549</v>
      </c>
      <c r="D814" s="273" t="s">
        <v>1178</v>
      </c>
      <c r="E814" s="768">
        <v>0</v>
      </c>
      <c r="F814" s="768">
        <v>12084626.33</v>
      </c>
      <c r="G814" s="768">
        <v>12084626.33</v>
      </c>
      <c r="H814" s="768">
        <v>721670</v>
      </c>
      <c r="I814" s="768">
        <v>11362956.33</v>
      </c>
    </row>
    <row r="815" spans="2:9" x14ac:dyDescent="0.2">
      <c r="B815" s="274">
        <v>8</v>
      </c>
      <c r="C815" s="826" t="s">
        <v>359</v>
      </c>
      <c r="D815" s="273" t="s">
        <v>1180</v>
      </c>
      <c r="E815" s="768">
        <v>0</v>
      </c>
      <c r="F815" s="768">
        <v>44412729.100000001</v>
      </c>
      <c r="G815" s="768">
        <v>44412729.100000001</v>
      </c>
      <c r="H815" s="768">
        <v>8848000</v>
      </c>
      <c r="I815" s="768">
        <v>35564729.100000001</v>
      </c>
    </row>
    <row r="816" spans="2:9" x14ac:dyDescent="0.2">
      <c r="B816" s="274">
        <v>8</v>
      </c>
      <c r="C816" s="826" t="s">
        <v>3114</v>
      </c>
      <c r="D816" s="273" t="s">
        <v>1182</v>
      </c>
      <c r="E816" s="768">
        <v>0</v>
      </c>
      <c r="F816" s="768">
        <v>24823374.48</v>
      </c>
      <c r="G816" s="768">
        <v>24823374.48</v>
      </c>
      <c r="H816" s="768">
        <v>3126588</v>
      </c>
      <c r="I816" s="768">
        <v>21696786.48</v>
      </c>
    </row>
    <row r="817" spans="2:9" x14ac:dyDescent="0.2">
      <c r="B817" s="274">
        <v>8</v>
      </c>
      <c r="C817" s="826" t="s">
        <v>360</v>
      </c>
      <c r="D817" s="273" t="s">
        <v>1184</v>
      </c>
      <c r="E817" s="768">
        <v>0</v>
      </c>
      <c r="F817" s="768">
        <v>73734592.790000007</v>
      </c>
      <c r="G817" s="768">
        <v>73734592.790000007</v>
      </c>
      <c r="H817" s="768">
        <v>1759116</v>
      </c>
      <c r="I817" s="768">
        <v>71975476.790000007</v>
      </c>
    </row>
    <row r="818" spans="2:9" x14ac:dyDescent="0.2">
      <c r="B818" s="274">
        <v>8</v>
      </c>
      <c r="C818" s="826" t="s">
        <v>3115</v>
      </c>
      <c r="D818" s="273" t="s">
        <v>1187</v>
      </c>
      <c r="E818" s="768">
        <v>0</v>
      </c>
      <c r="F818" s="768">
        <v>13735687.199999999</v>
      </c>
      <c r="G818" s="768">
        <v>13735687.199999999</v>
      </c>
      <c r="H818" s="768">
        <v>0</v>
      </c>
      <c r="I818" s="768">
        <v>13735687.199999999</v>
      </c>
    </row>
    <row r="819" spans="2:9" x14ac:dyDescent="0.2">
      <c r="B819" s="274">
        <v>8</v>
      </c>
      <c r="C819" s="826" t="s">
        <v>3742</v>
      </c>
      <c r="D819" s="273" t="s">
        <v>1185</v>
      </c>
      <c r="E819" s="768">
        <v>0</v>
      </c>
      <c r="F819" s="768">
        <v>6802815.3099999996</v>
      </c>
      <c r="G819" s="768">
        <v>6802815.3099999996</v>
      </c>
      <c r="H819" s="768">
        <v>1133655</v>
      </c>
      <c r="I819" s="768">
        <v>5669160.3099999996</v>
      </c>
    </row>
    <row r="820" spans="2:9" x14ac:dyDescent="0.2">
      <c r="B820" s="274">
        <v>8</v>
      </c>
      <c r="C820" s="826" t="s">
        <v>3743</v>
      </c>
      <c r="D820" s="273" t="s">
        <v>3744</v>
      </c>
      <c r="E820" s="768">
        <v>0</v>
      </c>
      <c r="F820" s="768">
        <v>34862921</v>
      </c>
      <c r="G820" s="768">
        <v>34862921</v>
      </c>
      <c r="H820" s="768">
        <v>1713188</v>
      </c>
      <c r="I820" s="768">
        <v>33149733</v>
      </c>
    </row>
    <row r="821" spans="2:9" x14ac:dyDescent="0.2">
      <c r="B821" s="274">
        <v>8</v>
      </c>
      <c r="C821" s="826" t="s">
        <v>1837</v>
      </c>
      <c r="D821" s="273" t="s">
        <v>584</v>
      </c>
      <c r="E821" s="768">
        <v>0</v>
      </c>
      <c r="F821" s="768">
        <v>13560154</v>
      </c>
      <c r="G821" s="768">
        <v>13560154</v>
      </c>
      <c r="H821" s="768">
        <v>1298891.2</v>
      </c>
      <c r="I821" s="768">
        <v>12261262.800000001</v>
      </c>
    </row>
    <row r="822" spans="2:9" x14ac:dyDescent="0.2">
      <c r="B822" s="274">
        <v>8</v>
      </c>
      <c r="C822" s="826" t="s">
        <v>3116</v>
      </c>
      <c r="D822" s="273" t="s">
        <v>3117</v>
      </c>
      <c r="E822" s="768">
        <v>0</v>
      </c>
      <c r="F822" s="768">
        <v>344805.12</v>
      </c>
      <c r="G822" s="768">
        <v>344805.12</v>
      </c>
      <c r="H822" s="768">
        <v>0</v>
      </c>
      <c r="I822" s="768">
        <v>344805.12</v>
      </c>
    </row>
    <row r="823" spans="2:9" x14ac:dyDescent="0.2">
      <c r="B823" s="274">
        <v>8</v>
      </c>
      <c r="C823" s="826" t="s">
        <v>2426</v>
      </c>
      <c r="D823" s="273" t="s">
        <v>2427</v>
      </c>
      <c r="E823" s="768">
        <v>0</v>
      </c>
      <c r="F823" s="768">
        <v>2181179.4700000002</v>
      </c>
      <c r="G823" s="768">
        <v>2181179.4700000002</v>
      </c>
      <c r="H823" s="768">
        <v>70414</v>
      </c>
      <c r="I823" s="768">
        <v>2110765.4700000002</v>
      </c>
    </row>
    <row r="824" spans="2:9" x14ac:dyDescent="0.2">
      <c r="B824" s="274">
        <v>8</v>
      </c>
      <c r="C824" s="826" t="s">
        <v>711</v>
      </c>
      <c r="D824" s="273" t="s">
        <v>1031</v>
      </c>
      <c r="E824" s="768">
        <v>1160000000</v>
      </c>
      <c r="F824" s="768">
        <v>-300706186.60000002</v>
      </c>
      <c r="G824" s="768">
        <v>859293813.39999998</v>
      </c>
      <c r="H824" s="768">
        <v>0</v>
      </c>
      <c r="I824" s="768">
        <v>859293813.39999998</v>
      </c>
    </row>
    <row r="826" spans="2:9" s="771" customFormat="1" x14ac:dyDescent="0.2">
      <c r="B826" s="766">
        <v>8</v>
      </c>
      <c r="C826" s="824" t="s">
        <v>404</v>
      </c>
      <c r="D826" s="771" t="s">
        <v>1262</v>
      </c>
      <c r="E826" s="825">
        <v>2188000000</v>
      </c>
      <c r="F826" s="825">
        <v>6376817.75</v>
      </c>
      <c r="G826" s="825">
        <v>2194376817.75</v>
      </c>
      <c r="H826" s="825">
        <v>514991217.26999998</v>
      </c>
      <c r="I826" s="825">
        <v>1679385600.48</v>
      </c>
    </row>
    <row r="827" spans="2:9" x14ac:dyDescent="0.2">
      <c r="B827" s="274">
        <v>8</v>
      </c>
      <c r="C827" s="826" t="s">
        <v>688</v>
      </c>
      <c r="D827" s="273" t="s">
        <v>878</v>
      </c>
      <c r="E827" s="768">
        <v>2188000000</v>
      </c>
      <c r="F827" s="768">
        <v>6376817.75</v>
      </c>
      <c r="G827" s="768">
        <v>2194376817.75</v>
      </c>
      <c r="H827" s="768">
        <v>514991217.26999998</v>
      </c>
      <c r="I827" s="768">
        <v>1679385600.48</v>
      </c>
    </row>
    <row r="828" spans="2:9" x14ac:dyDescent="0.2">
      <c r="B828" s="274">
        <v>8</v>
      </c>
      <c r="C828" s="826" t="s">
        <v>211</v>
      </c>
      <c r="D828" s="273" t="s">
        <v>1275</v>
      </c>
      <c r="E828" s="768">
        <v>0</v>
      </c>
      <c r="F828" s="768">
        <v>359482276.44999999</v>
      </c>
      <c r="G828" s="768">
        <v>359482276.44999999</v>
      </c>
      <c r="H828" s="768">
        <v>86556061.950000003</v>
      </c>
      <c r="I828" s="768">
        <v>272926214.5</v>
      </c>
    </row>
    <row r="829" spans="2:9" x14ac:dyDescent="0.2">
      <c r="B829" s="274">
        <v>8</v>
      </c>
      <c r="C829" s="826" t="s">
        <v>361</v>
      </c>
      <c r="D829" s="273" t="s">
        <v>444</v>
      </c>
      <c r="E829" s="768">
        <v>0</v>
      </c>
      <c r="F829" s="768">
        <v>359482276.44999999</v>
      </c>
      <c r="G829" s="768">
        <v>359482276.44999999</v>
      </c>
      <c r="H829" s="768">
        <v>86556061.950000003</v>
      </c>
      <c r="I829" s="768">
        <v>272926214.5</v>
      </c>
    </row>
    <row r="830" spans="2:9" x14ac:dyDescent="0.2">
      <c r="B830" s="274">
        <v>8</v>
      </c>
      <c r="C830" s="826" t="s">
        <v>263</v>
      </c>
      <c r="D830" s="273" t="s">
        <v>446</v>
      </c>
      <c r="E830" s="768">
        <v>0</v>
      </c>
      <c r="F830" s="768">
        <v>758344759.00999999</v>
      </c>
      <c r="G830" s="768">
        <v>758344759.00999999</v>
      </c>
      <c r="H830" s="768">
        <v>195938487.68000001</v>
      </c>
      <c r="I830" s="768">
        <v>562406271.33000004</v>
      </c>
    </row>
    <row r="831" spans="2:9" x14ac:dyDescent="0.2">
      <c r="B831" s="274">
        <v>8</v>
      </c>
      <c r="C831" s="826" t="s">
        <v>264</v>
      </c>
      <c r="D831" s="273" t="s">
        <v>447</v>
      </c>
      <c r="E831" s="768">
        <v>0</v>
      </c>
      <c r="F831" s="768">
        <v>758344759.00999999</v>
      </c>
      <c r="G831" s="768">
        <v>758344759.00999999</v>
      </c>
      <c r="H831" s="768">
        <v>195938487.68000001</v>
      </c>
      <c r="I831" s="768">
        <v>562406271.33000004</v>
      </c>
    </row>
    <row r="832" spans="2:9" x14ac:dyDescent="0.2">
      <c r="B832" s="274">
        <v>8</v>
      </c>
      <c r="C832" s="826" t="s">
        <v>1112</v>
      </c>
      <c r="D832" s="273" t="s">
        <v>1171</v>
      </c>
      <c r="E832" s="768">
        <v>0</v>
      </c>
      <c r="F832" s="768">
        <v>936626653.63</v>
      </c>
      <c r="G832" s="768">
        <v>936626653.63</v>
      </c>
      <c r="H832" s="768">
        <v>232496667.63999999</v>
      </c>
      <c r="I832" s="768">
        <v>704129985.99000001</v>
      </c>
    </row>
    <row r="833" spans="2:9" x14ac:dyDescent="0.2">
      <c r="B833" s="274">
        <v>8</v>
      </c>
      <c r="C833" s="826" t="s">
        <v>720</v>
      </c>
      <c r="D833" s="273" t="s">
        <v>7</v>
      </c>
      <c r="E833" s="768">
        <v>0</v>
      </c>
      <c r="F833" s="768">
        <v>772891703.60000002</v>
      </c>
      <c r="G833" s="768">
        <v>772891703.60000002</v>
      </c>
      <c r="H833" s="768">
        <v>198496413.05000001</v>
      </c>
      <c r="I833" s="768">
        <v>574395290.54999995</v>
      </c>
    </row>
    <row r="834" spans="2:9" x14ac:dyDescent="0.2">
      <c r="B834" s="274">
        <v>8</v>
      </c>
      <c r="C834" s="826" t="s">
        <v>3118</v>
      </c>
      <c r="D834" s="273" t="s">
        <v>3119</v>
      </c>
      <c r="E834" s="768">
        <v>0</v>
      </c>
      <c r="F834" s="768">
        <v>9353341.8599999994</v>
      </c>
      <c r="G834" s="768">
        <v>9353341.8599999994</v>
      </c>
      <c r="H834" s="768">
        <v>0</v>
      </c>
      <c r="I834" s="768">
        <v>9353341.8599999994</v>
      </c>
    </row>
    <row r="835" spans="2:9" x14ac:dyDescent="0.2">
      <c r="B835" s="274">
        <v>8</v>
      </c>
      <c r="C835" s="826" t="s">
        <v>3120</v>
      </c>
      <c r="D835" s="273" t="s">
        <v>3121</v>
      </c>
      <c r="E835" s="768">
        <v>0</v>
      </c>
      <c r="F835" s="768">
        <v>59017.75</v>
      </c>
      <c r="G835" s="768">
        <v>59017.75</v>
      </c>
      <c r="H835" s="768">
        <v>0</v>
      </c>
      <c r="I835" s="768">
        <v>59017.75</v>
      </c>
    </row>
    <row r="836" spans="2:9" x14ac:dyDescent="0.2">
      <c r="B836" s="274">
        <v>8</v>
      </c>
      <c r="C836" s="826" t="s">
        <v>3122</v>
      </c>
      <c r="D836" s="273" t="s">
        <v>252</v>
      </c>
      <c r="E836" s="768">
        <v>0</v>
      </c>
      <c r="F836" s="768">
        <v>312000.93</v>
      </c>
      <c r="G836" s="768">
        <v>312000.93</v>
      </c>
      <c r="H836" s="768">
        <v>0</v>
      </c>
      <c r="I836" s="768">
        <v>312000.93</v>
      </c>
    </row>
    <row r="837" spans="2:9" x14ac:dyDescent="0.2">
      <c r="B837" s="274">
        <v>8</v>
      </c>
      <c r="C837" s="826" t="s">
        <v>856</v>
      </c>
      <c r="D837" s="273" t="s">
        <v>857</v>
      </c>
      <c r="E837" s="768">
        <v>0</v>
      </c>
      <c r="F837" s="768">
        <v>7172505.6600000001</v>
      </c>
      <c r="G837" s="768">
        <v>7172505.6600000001</v>
      </c>
      <c r="H837" s="768">
        <v>3003404.05</v>
      </c>
      <c r="I837" s="768">
        <v>4169101.61</v>
      </c>
    </row>
    <row r="838" spans="2:9" x14ac:dyDescent="0.2">
      <c r="B838" s="274">
        <v>8</v>
      </c>
      <c r="C838" s="826" t="s">
        <v>3123</v>
      </c>
      <c r="D838" s="273" t="s">
        <v>3124</v>
      </c>
      <c r="E838" s="768">
        <v>0</v>
      </c>
      <c r="F838" s="768">
        <v>627262.36</v>
      </c>
      <c r="G838" s="768">
        <v>627262.36</v>
      </c>
      <c r="H838" s="768">
        <v>0</v>
      </c>
      <c r="I838" s="768">
        <v>627262.36</v>
      </c>
    </row>
    <row r="839" spans="2:9" x14ac:dyDescent="0.2">
      <c r="B839" s="274">
        <v>8</v>
      </c>
      <c r="C839" s="826" t="s">
        <v>1747</v>
      </c>
      <c r="D839" s="273" t="s">
        <v>1748</v>
      </c>
      <c r="E839" s="768">
        <v>0</v>
      </c>
      <c r="F839" s="768">
        <v>424431.52</v>
      </c>
      <c r="G839" s="768">
        <v>424431.52</v>
      </c>
      <c r="H839" s="768">
        <v>85000</v>
      </c>
      <c r="I839" s="768">
        <v>339431.52</v>
      </c>
    </row>
    <row r="840" spans="2:9" x14ac:dyDescent="0.2">
      <c r="B840" s="274">
        <v>8</v>
      </c>
      <c r="C840" s="826" t="s">
        <v>721</v>
      </c>
      <c r="D840" s="273" t="s">
        <v>8</v>
      </c>
      <c r="E840" s="768">
        <v>0</v>
      </c>
      <c r="F840" s="768">
        <v>10827782.77</v>
      </c>
      <c r="G840" s="768">
        <v>10827782.77</v>
      </c>
      <c r="H840" s="768">
        <v>7560735.7000000002</v>
      </c>
      <c r="I840" s="768">
        <v>3267047.07</v>
      </c>
    </row>
    <row r="841" spans="2:9" x14ac:dyDescent="0.2">
      <c r="B841" s="274">
        <v>8</v>
      </c>
      <c r="C841" s="826" t="s">
        <v>1635</v>
      </c>
      <c r="D841" s="273" t="s">
        <v>1636</v>
      </c>
      <c r="E841" s="768">
        <v>0</v>
      </c>
      <c r="F841" s="768">
        <v>8379596.1399999997</v>
      </c>
      <c r="G841" s="768">
        <v>8379596.1399999997</v>
      </c>
      <c r="H841" s="768">
        <v>755686.59</v>
      </c>
      <c r="I841" s="768">
        <v>7623909.5499999998</v>
      </c>
    </row>
    <row r="842" spans="2:9" x14ac:dyDescent="0.2">
      <c r="B842" s="274">
        <v>8</v>
      </c>
      <c r="C842" s="826" t="s">
        <v>1838</v>
      </c>
      <c r="D842" s="273" t="s">
        <v>1839</v>
      </c>
      <c r="E842" s="768">
        <v>0</v>
      </c>
      <c r="F842" s="768">
        <v>5264557.45</v>
      </c>
      <c r="G842" s="768">
        <v>5264557.45</v>
      </c>
      <c r="H842" s="768">
        <v>0</v>
      </c>
      <c r="I842" s="768">
        <v>5264557.45</v>
      </c>
    </row>
    <row r="843" spans="2:9" x14ac:dyDescent="0.2">
      <c r="B843" s="274">
        <v>8</v>
      </c>
      <c r="C843" s="826" t="s">
        <v>3745</v>
      </c>
      <c r="D843" s="273" t="s">
        <v>3746</v>
      </c>
      <c r="E843" s="768">
        <v>0</v>
      </c>
      <c r="F843" s="768">
        <v>33091774.609999999</v>
      </c>
      <c r="G843" s="768">
        <v>33091774.609999999</v>
      </c>
      <c r="H843" s="768">
        <v>21450</v>
      </c>
      <c r="I843" s="768">
        <v>33070324.609999999</v>
      </c>
    </row>
    <row r="844" spans="2:9" x14ac:dyDescent="0.2">
      <c r="B844" s="274">
        <v>8</v>
      </c>
      <c r="C844" s="826" t="s">
        <v>3747</v>
      </c>
      <c r="D844" s="273" t="s">
        <v>3748</v>
      </c>
      <c r="E844" s="768">
        <v>0</v>
      </c>
      <c r="F844" s="768">
        <v>8669440.1099999994</v>
      </c>
      <c r="G844" s="768">
        <v>8669440.1099999994</v>
      </c>
      <c r="H844" s="768">
        <v>0</v>
      </c>
      <c r="I844" s="768">
        <v>8669440.1099999994</v>
      </c>
    </row>
    <row r="845" spans="2:9" x14ac:dyDescent="0.2">
      <c r="B845" s="274">
        <v>8</v>
      </c>
      <c r="C845" s="826" t="s">
        <v>3749</v>
      </c>
      <c r="D845" s="273" t="s">
        <v>636</v>
      </c>
      <c r="E845" s="768">
        <v>0</v>
      </c>
      <c r="F845" s="768">
        <v>1951987.64</v>
      </c>
      <c r="G845" s="768">
        <v>1951987.64</v>
      </c>
      <c r="H845" s="768">
        <v>1288710</v>
      </c>
      <c r="I845" s="768">
        <v>663277.64</v>
      </c>
    </row>
    <row r="846" spans="2:9" x14ac:dyDescent="0.2">
      <c r="B846" s="274">
        <v>8</v>
      </c>
      <c r="C846" s="826" t="s">
        <v>3125</v>
      </c>
      <c r="D846" s="273" t="s">
        <v>3126</v>
      </c>
      <c r="E846" s="768">
        <v>0</v>
      </c>
      <c r="F846" s="768">
        <v>12251468</v>
      </c>
      <c r="G846" s="768">
        <v>12251468</v>
      </c>
      <c r="H846" s="768">
        <v>10767222.1</v>
      </c>
      <c r="I846" s="768">
        <v>1484245.9</v>
      </c>
    </row>
    <row r="847" spans="2:9" x14ac:dyDescent="0.2">
      <c r="B847" s="274">
        <v>8</v>
      </c>
      <c r="C847" s="826" t="s">
        <v>722</v>
      </c>
      <c r="D847" s="273" t="s">
        <v>9</v>
      </c>
      <c r="E847" s="768">
        <v>0</v>
      </c>
      <c r="F847" s="768">
        <v>4798783.95</v>
      </c>
      <c r="G847" s="768">
        <v>4798783.95</v>
      </c>
      <c r="H847" s="768">
        <v>0</v>
      </c>
      <c r="I847" s="768">
        <v>4798783.95</v>
      </c>
    </row>
    <row r="848" spans="2:9" x14ac:dyDescent="0.2">
      <c r="B848" s="274">
        <v>8</v>
      </c>
      <c r="C848" s="826" t="s">
        <v>2428</v>
      </c>
      <c r="D848" s="273" t="s">
        <v>2429</v>
      </c>
      <c r="E848" s="768">
        <v>0</v>
      </c>
      <c r="F848" s="768">
        <v>195000</v>
      </c>
      <c r="G848" s="768">
        <v>195000</v>
      </c>
      <c r="H848" s="768">
        <v>0</v>
      </c>
      <c r="I848" s="768">
        <v>195000</v>
      </c>
    </row>
    <row r="849" spans="2:9" x14ac:dyDescent="0.2">
      <c r="B849" s="274">
        <v>8</v>
      </c>
      <c r="C849" s="826" t="s">
        <v>1749</v>
      </c>
      <c r="D849" s="273" t="s">
        <v>1750</v>
      </c>
      <c r="E849" s="768">
        <v>0</v>
      </c>
      <c r="F849" s="768">
        <v>1502580.95</v>
      </c>
      <c r="G849" s="768">
        <v>1502580.95</v>
      </c>
      <c r="H849" s="768">
        <v>0</v>
      </c>
      <c r="I849" s="768">
        <v>1502580.95</v>
      </c>
    </row>
    <row r="850" spans="2:9" x14ac:dyDescent="0.2">
      <c r="B850" s="274">
        <v>8</v>
      </c>
      <c r="C850" s="826" t="s">
        <v>3127</v>
      </c>
      <c r="D850" s="273" t="s">
        <v>446</v>
      </c>
      <c r="E850" s="768">
        <v>0</v>
      </c>
      <c r="F850" s="768">
        <v>13077411.369999999</v>
      </c>
      <c r="G850" s="768">
        <v>13077411.369999999</v>
      </c>
      <c r="H850" s="768">
        <v>6394746.1500000004</v>
      </c>
      <c r="I850" s="768">
        <v>6682665.2199999997</v>
      </c>
    </row>
    <row r="851" spans="2:9" x14ac:dyDescent="0.2">
      <c r="B851" s="274">
        <v>8</v>
      </c>
      <c r="C851" s="826" t="s">
        <v>3128</v>
      </c>
      <c r="D851" s="273" t="s">
        <v>3129</v>
      </c>
      <c r="E851" s="768">
        <v>0</v>
      </c>
      <c r="F851" s="768">
        <v>3576489</v>
      </c>
      <c r="G851" s="768">
        <v>3576489</v>
      </c>
      <c r="H851" s="768">
        <v>35000</v>
      </c>
      <c r="I851" s="768">
        <v>3541489</v>
      </c>
    </row>
    <row r="852" spans="2:9" x14ac:dyDescent="0.2">
      <c r="B852" s="274">
        <v>8</v>
      </c>
      <c r="C852" s="826" t="s">
        <v>3750</v>
      </c>
      <c r="D852" s="273" t="s">
        <v>3751</v>
      </c>
      <c r="E852" s="768">
        <v>0</v>
      </c>
      <c r="F852" s="768">
        <v>6234017.1299999999</v>
      </c>
      <c r="G852" s="768">
        <v>6234017.1299999999</v>
      </c>
      <c r="H852" s="768">
        <v>275000</v>
      </c>
      <c r="I852" s="768">
        <v>5959017.1299999999</v>
      </c>
    </row>
    <row r="853" spans="2:9" x14ac:dyDescent="0.2">
      <c r="B853" s="274">
        <v>8</v>
      </c>
      <c r="C853" s="826" t="s">
        <v>3752</v>
      </c>
      <c r="D853" s="273" t="s">
        <v>1189</v>
      </c>
      <c r="E853" s="768">
        <v>0</v>
      </c>
      <c r="F853" s="768">
        <v>8000000</v>
      </c>
      <c r="G853" s="768">
        <v>8000000</v>
      </c>
      <c r="H853" s="768">
        <v>0</v>
      </c>
      <c r="I853" s="768">
        <v>8000000</v>
      </c>
    </row>
    <row r="854" spans="2:9" x14ac:dyDescent="0.2">
      <c r="B854" s="274">
        <v>8</v>
      </c>
      <c r="C854" s="826" t="s">
        <v>3753</v>
      </c>
      <c r="D854" s="273" t="s">
        <v>904</v>
      </c>
      <c r="E854" s="768">
        <v>0</v>
      </c>
      <c r="F854" s="768">
        <v>1200000</v>
      </c>
      <c r="G854" s="768">
        <v>1200000</v>
      </c>
      <c r="H854" s="768">
        <v>0</v>
      </c>
      <c r="I854" s="768">
        <v>1200000</v>
      </c>
    </row>
    <row r="855" spans="2:9" x14ac:dyDescent="0.2">
      <c r="B855" s="274">
        <v>8</v>
      </c>
      <c r="C855" s="826" t="s">
        <v>3130</v>
      </c>
      <c r="D855" s="273" t="s">
        <v>3131</v>
      </c>
      <c r="E855" s="768">
        <v>0</v>
      </c>
      <c r="F855" s="768">
        <v>2024495.82</v>
      </c>
      <c r="G855" s="768">
        <v>2024495.82</v>
      </c>
      <c r="H855" s="768">
        <v>169300</v>
      </c>
      <c r="I855" s="768">
        <v>1855195.82</v>
      </c>
    </row>
    <row r="856" spans="2:9" x14ac:dyDescent="0.2">
      <c r="B856" s="274">
        <v>8</v>
      </c>
      <c r="C856" s="826" t="s">
        <v>3132</v>
      </c>
      <c r="D856" s="273" t="s">
        <v>3133</v>
      </c>
      <c r="E856" s="768">
        <v>0</v>
      </c>
      <c r="F856" s="768">
        <v>1930441.35</v>
      </c>
      <c r="G856" s="768">
        <v>1930441.35</v>
      </c>
      <c r="H856" s="768">
        <v>0</v>
      </c>
      <c r="I856" s="768">
        <v>1930441.35</v>
      </c>
    </row>
    <row r="857" spans="2:9" x14ac:dyDescent="0.2">
      <c r="B857" s="274">
        <v>8</v>
      </c>
      <c r="C857" s="826" t="s">
        <v>1637</v>
      </c>
      <c r="D857" s="273" t="s">
        <v>1638</v>
      </c>
      <c r="E857" s="768">
        <v>0</v>
      </c>
      <c r="F857" s="768">
        <v>20000000</v>
      </c>
      <c r="G857" s="768">
        <v>20000000</v>
      </c>
      <c r="H857" s="768">
        <v>3264000</v>
      </c>
      <c r="I857" s="768">
        <v>16736000</v>
      </c>
    </row>
    <row r="858" spans="2:9" x14ac:dyDescent="0.2">
      <c r="B858" s="274">
        <v>8</v>
      </c>
      <c r="C858" s="826" t="s">
        <v>3754</v>
      </c>
      <c r="D858" s="273" t="s">
        <v>3755</v>
      </c>
      <c r="E858" s="768">
        <v>0</v>
      </c>
      <c r="F858" s="768">
        <v>1695277.29</v>
      </c>
      <c r="G858" s="768">
        <v>1695277.29</v>
      </c>
      <c r="H858" s="768">
        <v>380000</v>
      </c>
      <c r="I858" s="768">
        <v>1315277.29</v>
      </c>
    </row>
    <row r="859" spans="2:9" x14ac:dyDescent="0.2">
      <c r="B859" s="274">
        <v>8</v>
      </c>
      <c r="C859" s="826" t="s">
        <v>3134</v>
      </c>
      <c r="D859" s="273" t="s">
        <v>1190</v>
      </c>
      <c r="E859" s="768">
        <v>0</v>
      </c>
      <c r="F859" s="768">
        <v>1115286.3700000001</v>
      </c>
      <c r="G859" s="768">
        <v>1115286.3700000001</v>
      </c>
      <c r="H859" s="768">
        <v>0</v>
      </c>
      <c r="I859" s="768">
        <v>1115286.3700000001</v>
      </c>
    </row>
    <row r="860" spans="2:9" x14ac:dyDescent="0.2">
      <c r="B860" s="274">
        <v>8</v>
      </c>
      <c r="C860" s="826" t="s">
        <v>1145</v>
      </c>
      <c r="D860" s="273" t="s">
        <v>10</v>
      </c>
      <c r="E860" s="768">
        <v>2188000000</v>
      </c>
      <c r="F860" s="768">
        <v>-2048076871.3399999</v>
      </c>
      <c r="G860" s="768">
        <v>139923128.66</v>
      </c>
      <c r="H860" s="768">
        <v>0</v>
      </c>
      <c r="I860" s="768">
        <v>139923128.66</v>
      </c>
    </row>
    <row r="862" spans="2:9" s="771" customFormat="1" x14ac:dyDescent="0.2">
      <c r="B862" s="766">
        <v>8</v>
      </c>
      <c r="C862" s="824" t="s">
        <v>364</v>
      </c>
      <c r="D862" s="771" t="s">
        <v>1195</v>
      </c>
      <c r="E862" s="825">
        <v>1178500000</v>
      </c>
      <c r="F862" s="825">
        <v>-3771643.96</v>
      </c>
      <c r="G862" s="825">
        <v>1174728356.04</v>
      </c>
      <c r="H862" s="825">
        <v>71137042.299999997</v>
      </c>
      <c r="I862" s="825">
        <v>1103591313.74</v>
      </c>
    </row>
    <row r="863" spans="2:9" x14ac:dyDescent="0.2">
      <c r="B863" s="274">
        <v>8</v>
      </c>
      <c r="C863" s="826" t="s">
        <v>689</v>
      </c>
      <c r="D863" s="273" t="s">
        <v>878</v>
      </c>
      <c r="E863" s="768">
        <v>1178500000</v>
      </c>
      <c r="F863" s="768">
        <v>-3771643.96</v>
      </c>
      <c r="G863" s="768">
        <v>1174728356.04</v>
      </c>
      <c r="H863" s="768">
        <v>71137042.299999997</v>
      </c>
      <c r="I863" s="768">
        <v>1103591313.74</v>
      </c>
    </row>
    <row r="864" spans="2:9" x14ac:dyDescent="0.2">
      <c r="B864" s="274">
        <v>8</v>
      </c>
      <c r="C864" s="826" t="s">
        <v>1113</v>
      </c>
      <c r="D864" s="273" t="s">
        <v>1171</v>
      </c>
      <c r="E864" s="768">
        <v>0</v>
      </c>
      <c r="F864" s="768">
        <v>471970587.56</v>
      </c>
      <c r="G864" s="768">
        <v>471970587.56</v>
      </c>
      <c r="H864" s="768">
        <v>71137042.299999997</v>
      </c>
      <c r="I864" s="768">
        <v>400833545.25999999</v>
      </c>
    </row>
    <row r="865" spans="2:9" x14ac:dyDescent="0.2">
      <c r="B865" s="274">
        <v>8</v>
      </c>
      <c r="C865" s="826" t="s">
        <v>2430</v>
      </c>
      <c r="D865" s="273" t="s">
        <v>1197</v>
      </c>
      <c r="E865" s="768">
        <v>0</v>
      </c>
      <c r="F865" s="768">
        <v>12788446.15</v>
      </c>
      <c r="G865" s="768">
        <v>12788446.15</v>
      </c>
      <c r="H865" s="768">
        <v>0</v>
      </c>
      <c r="I865" s="768">
        <v>12788446.15</v>
      </c>
    </row>
    <row r="866" spans="2:9" x14ac:dyDescent="0.2">
      <c r="B866" s="274">
        <v>8</v>
      </c>
      <c r="C866" s="826" t="s">
        <v>3756</v>
      </c>
      <c r="D866" s="273" t="s">
        <v>3757</v>
      </c>
      <c r="E866" s="768">
        <v>0</v>
      </c>
      <c r="F866" s="768">
        <v>4000000</v>
      </c>
      <c r="G866" s="768">
        <v>4000000</v>
      </c>
      <c r="H866" s="768">
        <v>0</v>
      </c>
      <c r="I866" s="768">
        <v>4000000</v>
      </c>
    </row>
    <row r="867" spans="2:9" x14ac:dyDescent="0.2">
      <c r="B867" s="274">
        <v>8</v>
      </c>
      <c r="C867" s="826" t="s">
        <v>3758</v>
      </c>
      <c r="D867" s="273" t="s">
        <v>1212</v>
      </c>
      <c r="E867" s="768">
        <v>0</v>
      </c>
      <c r="F867" s="768">
        <v>4342499.12</v>
      </c>
      <c r="G867" s="768">
        <v>4342499.12</v>
      </c>
      <c r="H867" s="768">
        <v>2259639.0499999998</v>
      </c>
      <c r="I867" s="768">
        <v>2082860.07</v>
      </c>
    </row>
    <row r="868" spans="2:9" x14ac:dyDescent="0.2">
      <c r="B868" s="274">
        <v>8</v>
      </c>
      <c r="C868" s="826" t="s">
        <v>1146</v>
      </c>
      <c r="D868" s="273" t="s">
        <v>172</v>
      </c>
      <c r="E868" s="768">
        <v>0</v>
      </c>
      <c r="F868" s="768">
        <v>450839642.29000002</v>
      </c>
      <c r="G868" s="768">
        <v>450839642.29000002</v>
      </c>
      <c r="H868" s="768">
        <v>68877403.25</v>
      </c>
      <c r="I868" s="768">
        <v>381962239.04000002</v>
      </c>
    </row>
    <row r="869" spans="2:9" x14ac:dyDescent="0.2">
      <c r="B869" s="274">
        <v>8</v>
      </c>
      <c r="C869" s="826" t="s">
        <v>1147</v>
      </c>
      <c r="D869" s="273" t="s">
        <v>174</v>
      </c>
      <c r="E869" s="768">
        <v>1178500000</v>
      </c>
      <c r="F869" s="768">
        <v>-475742231.51999998</v>
      </c>
      <c r="G869" s="768">
        <v>702757768.48000002</v>
      </c>
      <c r="H869" s="768">
        <v>0</v>
      </c>
      <c r="I869" s="768">
        <v>702757768.48000002</v>
      </c>
    </row>
    <row r="871" spans="2:9" s="771" customFormat="1" x14ac:dyDescent="0.2">
      <c r="B871" s="766">
        <v>8</v>
      </c>
      <c r="C871" s="824" t="s">
        <v>1396</v>
      </c>
      <c r="D871" s="771" t="s">
        <v>1215</v>
      </c>
      <c r="E871" s="825">
        <v>620000000</v>
      </c>
      <c r="F871" s="825">
        <v>0</v>
      </c>
      <c r="G871" s="825">
        <v>620000000</v>
      </c>
      <c r="H871" s="825">
        <v>0</v>
      </c>
      <c r="I871" s="825">
        <v>620000000</v>
      </c>
    </row>
    <row r="872" spans="2:9" x14ac:dyDescent="0.2">
      <c r="B872" s="274">
        <v>8</v>
      </c>
      <c r="C872" s="826" t="s">
        <v>690</v>
      </c>
      <c r="D872" s="273" t="s">
        <v>878</v>
      </c>
      <c r="E872" s="768">
        <v>620000000</v>
      </c>
      <c r="F872" s="768">
        <v>0</v>
      </c>
      <c r="G872" s="768">
        <v>620000000</v>
      </c>
      <c r="H872" s="768">
        <v>0</v>
      </c>
      <c r="I872" s="768">
        <v>620000000</v>
      </c>
    </row>
    <row r="873" spans="2:9" x14ac:dyDescent="0.2">
      <c r="B873" s="274">
        <v>8</v>
      </c>
      <c r="C873" s="826" t="s">
        <v>261</v>
      </c>
      <c r="D873" s="273" t="s">
        <v>487</v>
      </c>
      <c r="E873" s="768">
        <v>620000000</v>
      </c>
      <c r="F873" s="768">
        <v>0</v>
      </c>
      <c r="G873" s="768">
        <v>620000000</v>
      </c>
      <c r="H873" s="768">
        <v>0</v>
      </c>
      <c r="I873" s="768">
        <v>620000000</v>
      </c>
    </row>
    <row r="875" spans="2:9" s="771" customFormat="1" x14ac:dyDescent="0.2">
      <c r="B875" s="766">
        <v>8</v>
      </c>
      <c r="C875" s="824" t="s">
        <v>537</v>
      </c>
      <c r="D875" s="771" t="s">
        <v>1062</v>
      </c>
      <c r="E875" s="825">
        <v>2562000000</v>
      </c>
      <c r="F875" s="825">
        <v>640564.21</v>
      </c>
      <c r="G875" s="825">
        <v>2562640564.21</v>
      </c>
      <c r="H875" s="825">
        <v>31420000.949999999</v>
      </c>
      <c r="I875" s="825">
        <v>2531220563.2600002</v>
      </c>
    </row>
    <row r="876" spans="2:9" x14ac:dyDescent="0.2">
      <c r="B876" s="274">
        <v>8</v>
      </c>
      <c r="C876" s="826" t="s">
        <v>691</v>
      </c>
      <c r="D876" s="273" t="s">
        <v>878</v>
      </c>
      <c r="E876" s="768">
        <v>2562000000</v>
      </c>
      <c r="F876" s="768">
        <v>640564.21</v>
      </c>
      <c r="G876" s="768">
        <v>2562640564.21</v>
      </c>
      <c r="H876" s="768">
        <v>31420000.949999999</v>
      </c>
      <c r="I876" s="768">
        <v>2531220563.2600002</v>
      </c>
    </row>
    <row r="877" spans="2:9" x14ac:dyDescent="0.2">
      <c r="B877" s="274">
        <v>8</v>
      </c>
      <c r="C877" s="826" t="s">
        <v>1114</v>
      </c>
      <c r="D877" s="273" t="s">
        <v>1171</v>
      </c>
      <c r="E877" s="768">
        <v>0</v>
      </c>
      <c r="F877" s="768">
        <v>1616389152.52</v>
      </c>
      <c r="G877" s="768">
        <v>1616389152.52</v>
      </c>
      <c r="H877" s="768">
        <v>31420000.949999999</v>
      </c>
      <c r="I877" s="768">
        <v>1584969151.5699999</v>
      </c>
    </row>
    <row r="878" spans="2:9" x14ac:dyDescent="0.2">
      <c r="B878" s="274">
        <v>8</v>
      </c>
      <c r="C878" s="826" t="s">
        <v>3135</v>
      </c>
      <c r="D878" s="273" t="s">
        <v>545</v>
      </c>
      <c r="E878" s="768">
        <v>0</v>
      </c>
      <c r="F878" s="768">
        <v>1119192.75</v>
      </c>
      <c r="G878" s="768">
        <v>1119192.75</v>
      </c>
      <c r="H878" s="768">
        <v>0</v>
      </c>
      <c r="I878" s="768">
        <v>1119192.75</v>
      </c>
    </row>
    <row r="879" spans="2:9" x14ac:dyDescent="0.2">
      <c r="B879" s="274">
        <v>8</v>
      </c>
      <c r="C879" s="826" t="s">
        <v>1115</v>
      </c>
      <c r="D879" s="273" t="s">
        <v>1072</v>
      </c>
      <c r="E879" s="768">
        <v>0</v>
      </c>
      <c r="F879" s="768">
        <v>11957864.83</v>
      </c>
      <c r="G879" s="768">
        <v>11957864.83</v>
      </c>
      <c r="H879" s="768">
        <v>360000</v>
      </c>
      <c r="I879" s="768">
        <v>11597864.83</v>
      </c>
    </row>
    <row r="880" spans="2:9" x14ac:dyDescent="0.2">
      <c r="B880" s="274">
        <v>8</v>
      </c>
      <c r="C880" s="826" t="s">
        <v>1639</v>
      </c>
      <c r="D880" s="273" t="s">
        <v>1073</v>
      </c>
      <c r="E880" s="768">
        <v>0</v>
      </c>
      <c r="F880" s="768">
        <v>21494412</v>
      </c>
      <c r="G880" s="768">
        <v>21494412</v>
      </c>
      <c r="H880" s="768">
        <v>2091750</v>
      </c>
      <c r="I880" s="768">
        <v>19402662</v>
      </c>
    </row>
    <row r="881" spans="2:9" x14ac:dyDescent="0.2">
      <c r="B881" s="274">
        <v>8</v>
      </c>
      <c r="C881" s="826" t="s">
        <v>2431</v>
      </c>
      <c r="D881" s="273" t="s">
        <v>1074</v>
      </c>
      <c r="E881" s="768">
        <v>0</v>
      </c>
      <c r="F881" s="768">
        <v>86249416.310000002</v>
      </c>
      <c r="G881" s="768">
        <v>86249416.310000002</v>
      </c>
      <c r="H881" s="768">
        <v>0</v>
      </c>
      <c r="I881" s="768">
        <v>86249416.310000002</v>
      </c>
    </row>
    <row r="882" spans="2:9" x14ac:dyDescent="0.2">
      <c r="B882" s="274">
        <v>8</v>
      </c>
      <c r="C882" s="826" t="s">
        <v>1640</v>
      </c>
      <c r="D882" s="273" t="s">
        <v>1075</v>
      </c>
      <c r="E882" s="768">
        <v>0</v>
      </c>
      <c r="F882" s="768">
        <v>2581809.1</v>
      </c>
      <c r="G882" s="768">
        <v>2581809.1</v>
      </c>
      <c r="H882" s="768">
        <v>2581809.1</v>
      </c>
      <c r="I882" s="768">
        <v>0</v>
      </c>
    </row>
    <row r="883" spans="2:9" x14ac:dyDescent="0.2">
      <c r="B883" s="274">
        <v>8</v>
      </c>
      <c r="C883" s="826" t="s">
        <v>1116</v>
      </c>
      <c r="D883" s="273" t="s">
        <v>1076</v>
      </c>
      <c r="E883" s="768">
        <v>0</v>
      </c>
      <c r="F883" s="768">
        <v>5787175.96</v>
      </c>
      <c r="G883" s="768">
        <v>5787175.96</v>
      </c>
      <c r="H883" s="768">
        <v>1245732.6499999999</v>
      </c>
      <c r="I883" s="768">
        <v>4541443.3099999996</v>
      </c>
    </row>
    <row r="884" spans="2:9" x14ac:dyDescent="0.2">
      <c r="B884" s="274">
        <v>8</v>
      </c>
      <c r="C884" s="826" t="s">
        <v>3136</v>
      </c>
      <c r="D884" s="273" t="s">
        <v>1077</v>
      </c>
      <c r="E884" s="768">
        <v>0</v>
      </c>
      <c r="F884" s="768">
        <v>40656048.670000002</v>
      </c>
      <c r="G884" s="768">
        <v>40656048.670000002</v>
      </c>
      <c r="H884" s="768">
        <v>135485</v>
      </c>
      <c r="I884" s="768">
        <v>40520563.670000002</v>
      </c>
    </row>
    <row r="885" spans="2:9" x14ac:dyDescent="0.2">
      <c r="B885" s="274">
        <v>8</v>
      </c>
      <c r="C885" s="826" t="s">
        <v>1117</v>
      </c>
      <c r="D885" s="273" t="s">
        <v>1078</v>
      </c>
      <c r="E885" s="768">
        <v>0</v>
      </c>
      <c r="F885" s="768">
        <v>49141495.619999997</v>
      </c>
      <c r="G885" s="768">
        <v>49141495.619999997</v>
      </c>
      <c r="H885" s="768">
        <v>3707899.8</v>
      </c>
      <c r="I885" s="768">
        <v>45433595.82</v>
      </c>
    </row>
    <row r="886" spans="2:9" x14ac:dyDescent="0.2">
      <c r="B886" s="274">
        <v>8</v>
      </c>
      <c r="C886" s="826" t="s">
        <v>1118</v>
      </c>
      <c r="D886" s="273" t="s">
        <v>1079</v>
      </c>
      <c r="E886" s="768">
        <v>0</v>
      </c>
      <c r="F886" s="768">
        <v>89024602.030000001</v>
      </c>
      <c r="G886" s="768">
        <v>89024602.030000001</v>
      </c>
      <c r="H886" s="768">
        <v>129900</v>
      </c>
      <c r="I886" s="768">
        <v>88894702.030000001</v>
      </c>
    </row>
    <row r="887" spans="2:9" x14ac:dyDescent="0.2">
      <c r="B887" s="274">
        <v>8</v>
      </c>
      <c r="C887" s="826" t="s">
        <v>2432</v>
      </c>
      <c r="D887" s="273" t="s">
        <v>2433</v>
      </c>
      <c r="E887" s="768">
        <v>0</v>
      </c>
      <c r="F887" s="768">
        <v>496481.8</v>
      </c>
      <c r="G887" s="768">
        <v>496481.8</v>
      </c>
      <c r="H887" s="768">
        <v>0</v>
      </c>
      <c r="I887" s="768">
        <v>496481.8</v>
      </c>
    </row>
    <row r="888" spans="2:9" x14ac:dyDescent="0.2">
      <c r="B888" s="274">
        <v>8</v>
      </c>
      <c r="C888" s="826" t="s">
        <v>858</v>
      </c>
      <c r="D888" s="273" t="s">
        <v>1088</v>
      </c>
      <c r="E888" s="768">
        <v>0</v>
      </c>
      <c r="F888" s="768">
        <v>1286429703.45</v>
      </c>
      <c r="G888" s="768">
        <v>1286429703.45</v>
      </c>
      <c r="H888" s="768">
        <v>0</v>
      </c>
      <c r="I888" s="768">
        <v>1286429703.45</v>
      </c>
    </row>
    <row r="889" spans="2:9" x14ac:dyDescent="0.2">
      <c r="B889" s="274">
        <v>8</v>
      </c>
      <c r="C889" s="826" t="s">
        <v>3759</v>
      </c>
      <c r="D889" s="273" t="s">
        <v>1086</v>
      </c>
      <c r="E889" s="768">
        <v>0</v>
      </c>
      <c r="F889" s="768">
        <v>21450950</v>
      </c>
      <c r="G889" s="768">
        <v>21450950</v>
      </c>
      <c r="H889" s="768">
        <v>21167424.399999999</v>
      </c>
      <c r="I889" s="768">
        <v>283525.59999999998</v>
      </c>
    </row>
    <row r="890" spans="2:9" x14ac:dyDescent="0.2">
      <c r="B890" s="274">
        <v>8</v>
      </c>
      <c r="C890" s="826" t="s">
        <v>532</v>
      </c>
      <c r="D890" s="273" t="s">
        <v>497</v>
      </c>
      <c r="E890" s="768">
        <v>2562000000</v>
      </c>
      <c r="F890" s="768">
        <v>-1615748588.3099999</v>
      </c>
      <c r="G890" s="768">
        <v>946251411.69000006</v>
      </c>
      <c r="H890" s="768">
        <v>0</v>
      </c>
      <c r="I890" s="768">
        <v>946251411.69000006</v>
      </c>
    </row>
    <row r="892" spans="2:9" s="771" customFormat="1" x14ac:dyDescent="0.2">
      <c r="B892" s="766">
        <v>8</v>
      </c>
      <c r="C892" s="824" t="s">
        <v>326</v>
      </c>
      <c r="D892" s="771" t="s">
        <v>765</v>
      </c>
      <c r="E892" s="825">
        <v>41000000</v>
      </c>
      <c r="F892" s="825">
        <v>-1000000</v>
      </c>
      <c r="G892" s="825">
        <v>40000000</v>
      </c>
      <c r="H892" s="825">
        <v>7000000</v>
      </c>
      <c r="I892" s="825">
        <v>33000000</v>
      </c>
    </row>
    <row r="893" spans="2:9" x14ac:dyDescent="0.2">
      <c r="B893" s="274">
        <v>8</v>
      </c>
      <c r="C893" s="826" t="s">
        <v>692</v>
      </c>
      <c r="D893" s="273" t="s">
        <v>878</v>
      </c>
      <c r="E893" s="768">
        <v>41000000</v>
      </c>
      <c r="F893" s="768">
        <v>-1000000</v>
      </c>
      <c r="G893" s="768">
        <v>40000000</v>
      </c>
      <c r="H893" s="768">
        <v>7000000</v>
      </c>
      <c r="I893" s="768">
        <v>33000000</v>
      </c>
    </row>
    <row r="894" spans="2:9" x14ac:dyDescent="0.2">
      <c r="B894" s="274">
        <v>8</v>
      </c>
      <c r="C894" s="826" t="s">
        <v>1119</v>
      </c>
      <c r="D894" s="273" t="s">
        <v>1171</v>
      </c>
      <c r="E894" s="768">
        <v>0</v>
      </c>
      <c r="F894" s="768">
        <v>18738167.350000001</v>
      </c>
      <c r="G894" s="768">
        <v>18738167.350000001</v>
      </c>
      <c r="H894" s="768">
        <v>7000000</v>
      </c>
      <c r="I894" s="768">
        <v>11738167.35</v>
      </c>
    </row>
    <row r="895" spans="2:9" x14ac:dyDescent="0.2">
      <c r="B895" s="274">
        <v>8</v>
      </c>
      <c r="C895" s="826" t="s">
        <v>3137</v>
      </c>
      <c r="D895" s="273" t="s">
        <v>3138</v>
      </c>
      <c r="E895" s="768">
        <v>0</v>
      </c>
      <c r="F895" s="768">
        <v>12943167.35</v>
      </c>
      <c r="G895" s="768">
        <v>12943167.35</v>
      </c>
      <c r="H895" s="768">
        <v>7000000</v>
      </c>
      <c r="I895" s="768">
        <v>5943167.3499999996</v>
      </c>
    </row>
    <row r="896" spans="2:9" x14ac:dyDescent="0.2">
      <c r="B896" s="274">
        <v>8</v>
      </c>
      <c r="C896" s="826" t="s">
        <v>3760</v>
      </c>
      <c r="D896" s="273" t="s">
        <v>788</v>
      </c>
      <c r="E896" s="768">
        <v>0</v>
      </c>
      <c r="F896" s="768">
        <v>5795000</v>
      </c>
      <c r="G896" s="768">
        <v>5795000</v>
      </c>
      <c r="H896" s="768">
        <v>0</v>
      </c>
      <c r="I896" s="768">
        <v>5795000</v>
      </c>
    </row>
    <row r="897" spans="2:9" x14ac:dyDescent="0.2">
      <c r="B897" s="274">
        <v>8</v>
      </c>
      <c r="C897" s="826" t="s">
        <v>533</v>
      </c>
      <c r="D897" s="273" t="s">
        <v>823</v>
      </c>
      <c r="E897" s="768">
        <v>41000000</v>
      </c>
      <c r="F897" s="768">
        <v>-19738167.350000001</v>
      </c>
      <c r="G897" s="768">
        <v>21261832.649999999</v>
      </c>
      <c r="H897" s="768">
        <v>0</v>
      </c>
      <c r="I897" s="768">
        <v>21261832.649999999</v>
      </c>
    </row>
    <row r="899" spans="2:9" x14ac:dyDescent="0.2">
      <c r="B899" s="766">
        <v>9</v>
      </c>
      <c r="C899" s="824"/>
      <c r="D899" s="771" t="s">
        <v>1095</v>
      </c>
      <c r="E899" s="825">
        <v>4094976635.0700002</v>
      </c>
      <c r="F899" s="825">
        <v>2974936718.1999998</v>
      </c>
      <c r="G899" s="825">
        <v>7069913353.2700005</v>
      </c>
      <c r="H899" s="825">
        <v>1446907888.1900001</v>
      </c>
      <c r="I899" s="825">
        <v>5623005465.0799999</v>
      </c>
    </row>
    <row r="900" spans="2:9" x14ac:dyDescent="0.2">
      <c r="B900" s="766"/>
      <c r="C900" s="824"/>
      <c r="D900" s="771"/>
      <c r="E900" s="825"/>
      <c r="F900" s="825"/>
      <c r="G900" s="825"/>
      <c r="H900" s="825"/>
      <c r="I900" s="825"/>
    </row>
    <row r="901" spans="2:9" s="771" customFormat="1" x14ac:dyDescent="0.2">
      <c r="B901" s="766">
        <v>9</v>
      </c>
      <c r="C901" s="824" t="s">
        <v>946</v>
      </c>
      <c r="D901" s="771" t="s">
        <v>557</v>
      </c>
      <c r="E901" s="825">
        <v>1552976635.0699999</v>
      </c>
      <c r="F901" s="825">
        <v>799688123.54999995</v>
      </c>
      <c r="G901" s="825">
        <v>2352664758.6199999</v>
      </c>
      <c r="H901" s="825">
        <v>946243110.65999997</v>
      </c>
      <c r="I901" s="825">
        <v>1406421647.96</v>
      </c>
    </row>
    <row r="902" spans="2:9" x14ac:dyDescent="0.2">
      <c r="B902" s="274">
        <v>9</v>
      </c>
      <c r="C902" s="826" t="s">
        <v>687</v>
      </c>
      <c r="D902" s="273" t="s">
        <v>878</v>
      </c>
      <c r="E902" s="768">
        <v>1552976635.0699999</v>
      </c>
      <c r="F902" s="768">
        <v>799688123.54999995</v>
      </c>
      <c r="G902" s="768">
        <v>2352664758.6199999</v>
      </c>
      <c r="H902" s="768">
        <v>946243110.65999997</v>
      </c>
      <c r="I902" s="768">
        <v>1406421647.96</v>
      </c>
    </row>
    <row r="903" spans="2:9" x14ac:dyDescent="0.2">
      <c r="B903" s="274">
        <v>9</v>
      </c>
      <c r="C903" s="826" t="s">
        <v>883</v>
      </c>
      <c r="D903" s="273" t="s">
        <v>884</v>
      </c>
      <c r="E903" s="768">
        <v>0</v>
      </c>
      <c r="F903" s="768">
        <v>2308180595.54</v>
      </c>
      <c r="G903" s="768">
        <v>2308180595.54</v>
      </c>
      <c r="H903" s="768">
        <v>946243110.65999997</v>
      </c>
      <c r="I903" s="768">
        <v>1361937484.8800001</v>
      </c>
    </row>
    <row r="904" spans="2:9" x14ac:dyDescent="0.2">
      <c r="B904" s="274">
        <v>9</v>
      </c>
      <c r="C904" s="826" t="s">
        <v>1128</v>
      </c>
      <c r="D904" s="273" t="s">
        <v>1550</v>
      </c>
      <c r="E904" s="768">
        <v>0</v>
      </c>
      <c r="F904" s="768">
        <v>775761419.01999998</v>
      </c>
      <c r="G904" s="768">
        <v>775761419.01999998</v>
      </c>
      <c r="H904" s="768">
        <v>275823530.51999998</v>
      </c>
      <c r="I904" s="768">
        <v>499937888.5</v>
      </c>
    </row>
    <row r="905" spans="2:9" x14ac:dyDescent="0.2">
      <c r="B905" s="274">
        <v>9</v>
      </c>
      <c r="C905" s="826" t="s">
        <v>728</v>
      </c>
      <c r="D905" s="273" t="s">
        <v>1840</v>
      </c>
      <c r="E905" s="768">
        <v>0</v>
      </c>
      <c r="F905" s="768">
        <v>210812800</v>
      </c>
      <c r="G905" s="768">
        <v>210812800</v>
      </c>
      <c r="H905" s="768">
        <v>163595427.94</v>
      </c>
      <c r="I905" s="768">
        <v>47217372.060000002</v>
      </c>
    </row>
    <row r="906" spans="2:9" x14ac:dyDescent="0.2">
      <c r="B906" s="274">
        <v>9</v>
      </c>
      <c r="C906" s="826" t="s">
        <v>859</v>
      </c>
      <c r="D906" s="273" t="s">
        <v>860</v>
      </c>
      <c r="E906" s="768">
        <v>0</v>
      </c>
      <c r="F906" s="768">
        <v>101663834.34999999</v>
      </c>
      <c r="G906" s="768">
        <v>101663834.34999999</v>
      </c>
      <c r="H906" s="768">
        <v>19829411.899999999</v>
      </c>
      <c r="I906" s="768">
        <v>81834422.450000003</v>
      </c>
    </row>
    <row r="907" spans="2:9" x14ac:dyDescent="0.2">
      <c r="B907" s="274">
        <v>9</v>
      </c>
      <c r="C907" s="826" t="s">
        <v>1551</v>
      </c>
      <c r="D907" s="273" t="s">
        <v>1552</v>
      </c>
      <c r="E907" s="768">
        <v>0</v>
      </c>
      <c r="F907" s="768">
        <v>555158928.52999997</v>
      </c>
      <c r="G907" s="768">
        <v>555158928.52999997</v>
      </c>
      <c r="H907" s="768">
        <v>200362414.28</v>
      </c>
      <c r="I907" s="768">
        <v>354796514.25</v>
      </c>
    </row>
    <row r="908" spans="2:9" x14ac:dyDescent="0.2">
      <c r="B908" s="274">
        <v>9</v>
      </c>
      <c r="C908" s="826" t="s">
        <v>1553</v>
      </c>
      <c r="D908" s="273" t="s">
        <v>3139</v>
      </c>
      <c r="E908" s="768">
        <v>0</v>
      </c>
      <c r="F908" s="768">
        <v>641527895.14999998</v>
      </c>
      <c r="G908" s="768">
        <v>641527895.14999998</v>
      </c>
      <c r="H908" s="768">
        <v>284284490.88999999</v>
      </c>
      <c r="I908" s="768">
        <v>357243404.25999999</v>
      </c>
    </row>
    <row r="909" spans="2:9" x14ac:dyDescent="0.2">
      <c r="B909" s="274">
        <v>9</v>
      </c>
      <c r="C909" s="826" t="s">
        <v>3761</v>
      </c>
      <c r="D909" s="273" t="s">
        <v>3762</v>
      </c>
      <c r="E909" s="768">
        <v>0</v>
      </c>
      <c r="F909" s="768">
        <v>0</v>
      </c>
      <c r="G909" s="768">
        <v>0</v>
      </c>
      <c r="H909" s="768">
        <v>0</v>
      </c>
      <c r="I909" s="768">
        <v>0</v>
      </c>
    </row>
    <row r="910" spans="2:9" x14ac:dyDescent="0.2">
      <c r="B910" s="274">
        <v>9</v>
      </c>
      <c r="C910" s="826" t="s">
        <v>1701</v>
      </c>
      <c r="D910" s="273" t="s">
        <v>1702</v>
      </c>
      <c r="E910" s="768">
        <v>0</v>
      </c>
      <c r="F910" s="768">
        <v>1354135.45</v>
      </c>
      <c r="G910" s="768">
        <v>1354135.45</v>
      </c>
      <c r="H910" s="768">
        <v>190737.1</v>
      </c>
      <c r="I910" s="768">
        <v>1163398.3500000001</v>
      </c>
    </row>
    <row r="911" spans="2:9" x14ac:dyDescent="0.2">
      <c r="B911" s="274">
        <v>9</v>
      </c>
      <c r="C911" s="826" t="s">
        <v>1841</v>
      </c>
      <c r="D911" s="273" t="s">
        <v>1842</v>
      </c>
      <c r="E911" s="768">
        <v>0</v>
      </c>
      <c r="F911" s="768">
        <v>615000</v>
      </c>
      <c r="G911" s="768">
        <v>615000</v>
      </c>
      <c r="H911" s="768">
        <v>619873.85</v>
      </c>
      <c r="I911" s="768">
        <v>-4873.8500000000004</v>
      </c>
    </row>
    <row r="912" spans="2:9" x14ac:dyDescent="0.2">
      <c r="B912" s="274">
        <v>9</v>
      </c>
      <c r="C912" s="826" t="s">
        <v>3140</v>
      </c>
      <c r="D912" s="273" t="s">
        <v>3141</v>
      </c>
      <c r="E912" s="768">
        <v>0</v>
      </c>
      <c r="F912" s="768">
        <v>8204308</v>
      </c>
      <c r="G912" s="768">
        <v>8204308</v>
      </c>
      <c r="H912" s="768">
        <v>418710.7</v>
      </c>
      <c r="I912" s="768">
        <v>7785597.2999999998</v>
      </c>
    </row>
    <row r="913" spans="2:9" x14ac:dyDescent="0.2">
      <c r="B913" s="274">
        <v>9</v>
      </c>
      <c r="C913" s="826" t="s">
        <v>3142</v>
      </c>
      <c r="D913" s="273" t="s">
        <v>3143</v>
      </c>
      <c r="E913" s="768">
        <v>0</v>
      </c>
      <c r="F913" s="768">
        <v>12494863.039999999</v>
      </c>
      <c r="G913" s="768">
        <v>12494863.039999999</v>
      </c>
      <c r="H913" s="768">
        <v>531101.48</v>
      </c>
      <c r="I913" s="768">
        <v>11963761.560000001</v>
      </c>
    </row>
    <row r="914" spans="2:9" x14ac:dyDescent="0.2">
      <c r="B914" s="274">
        <v>9</v>
      </c>
      <c r="C914" s="826" t="s">
        <v>3144</v>
      </c>
      <c r="D914" s="273" t="s">
        <v>3145</v>
      </c>
      <c r="E914" s="768">
        <v>0</v>
      </c>
      <c r="F914" s="768">
        <v>587412</v>
      </c>
      <c r="G914" s="768">
        <v>587412</v>
      </c>
      <c r="H914" s="768">
        <v>587412</v>
      </c>
      <c r="I914" s="768">
        <v>0</v>
      </c>
    </row>
    <row r="915" spans="2:9" x14ac:dyDescent="0.2">
      <c r="B915" s="274">
        <v>9</v>
      </c>
      <c r="C915" s="826" t="s">
        <v>710</v>
      </c>
      <c r="D915" s="273" t="s">
        <v>884</v>
      </c>
      <c r="E915" s="768">
        <v>1552976635.0699999</v>
      </c>
      <c r="F915" s="768">
        <v>-1508492471.99</v>
      </c>
      <c r="G915" s="768">
        <v>44484163.079999998</v>
      </c>
      <c r="H915" s="768">
        <v>0</v>
      </c>
      <c r="I915" s="768">
        <v>44484163.079999998</v>
      </c>
    </row>
    <row r="917" spans="2:9" s="771" customFormat="1" x14ac:dyDescent="0.2">
      <c r="B917" s="766">
        <v>9</v>
      </c>
      <c r="C917" s="824" t="s">
        <v>404</v>
      </c>
      <c r="D917" s="771" t="s">
        <v>1262</v>
      </c>
      <c r="E917" s="825">
        <v>100000000</v>
      </c>
      <c r="F917" s="825">
        <v>189782077.06999999</v>
      </c>
      <c r="G917" s="825">
        <v>289782077.06999999</v>
      </c>
      <c r="H917" s="825">
        <v>77751540.599999994</v>
      </c>
      <c r="I917" s="825">
        <v>212030536.47</v>
      </c>
    </row>
    <row r="918" spans="2:9" x14ac:dyDescent="0.2">
      <c r="B918" s="274">
        <v>9</v>
      </c>
      <c r="C918" s="826" t="s">
        <v>688</v>
      </c>
      <c r="D918" s="273" t="s">
        <v>878</v>
      </c>
      <c r="E918" s="768">
        <v>100000000</v>
      </c>
      <c r="F918" s="768">
        <v>189782077.06999999</v>
      </c>
      <c r="G918" s="768">
        <v>289782077.06999999</v>
      </c>
      <c r="H918" s="768">
        <v>77751540.599999994</v>
      </c>
      <c r="I918" s="768">
        <v>212030536.47</v>
      </c>
    </row>
    <row r="919" spans="2:9" x14ac:dyDescent="0.2">
      <c r="B919" s="274">
        <v>9</v>
      </c>
      <c r="C919" s="826" t="s">
        <v>1751</v>
      </c>
      <c r="D919" s="273" t="s">
        <v>449</v>
      </c>
      <c r="E919" s="768">
        <v>0</v>
      </c>
      <c r="F919" s="768">
        <v>220014063.65000001</v>
      </c>
      <c r="G919" s="768">
        <v>220014063.65000001</v>
      </c>
      <c r="H919" s="768">
        <v>56515552.409999996</v>
      </c>
      <c r="I919" s="768">
        <v>163498511.24000001</v>
      </c>
    </row>
    <row r="920" spans="2:9" x14ac:dyDescent="0.2">
      <c r="B920" s="274">
        <v>9</v>
      </c>
      <c r="C920" s="826" t="s">
        <v>1752</v>
      </c>
      <c r="D920" s="273" t="s">
        <v>1843</v>
      </c>
      <c r="E920" s="768">
        <v>0</v>
      </c>
      <c r="F920" s="768">
        <v>2925000</v>
      </c>
      <c r="G920" s="768">
        <v>2925000</v>
      </c>
      <c r="H920" s="768">
        <v>0</v>
      </c>
      <c r="I920" s="768">
        <v>2925000</v>
      </c>
    </row>
    <row r="921" spans="2:9" x14ac:dyDescent="0.2">
      <c r="B921" s="274">
        <v>9</v>
      </c>
      <c r="C921" s="826" t="s">
        <v>1844</v>
      </c>
      <c r="D921" s="273" t="s">
        <v>1845</v>
      </c>
      <c r="E921" s="768">
        <v>0</v>
      </c>
      <c r="F921" s="768">
        <v>138320</v>
      </c>
      <c r="G921" s="768">
        <v>138320</v>
      </c>
      <c r="H921" s="768">
        <v>0</v>
      </c>
      <c r="I921" s="768">
        <v>138320</v>
      </c>
    </row>
    <row r="922" spans="2:9" x14ac:dyDescent="0.2">
      <c r="B922" s="274">
        <v>9</v>
      </c>
      <c r="C922" s="826" t="s">
        <v>1846</v>
      </c>
      <c r="D922" s="273" t="s">
        <v>1847</v>
      </c>
      <c r="E922" s="768">
        <v>0</v>
      </c>
      <c r="F922" s="768">
        <v>398239</v>
      </c>
      <c r="G922" s="768">
        <v>398239</v>
      </c>
      <c r="H922" s="768">
        <v>0</v>
      </c>
      <c r="I922" s="768">
        <v>398239</v>
      </c>
    </row>
    <row r="923" spans="2:9" x14ac:dyDescent="0.2">
      <c r="B923" s="274">
        <v>9</v>
      </c>
      <c r="C923" s="826" t="s">
        <v>1848</v>
      </c>
      <c r="D923" s="273" t="s">
        <v>1849</v>
      </c>
      <c r="E923" s="768">
        <v>0</v>
      </c>
      <c r="F923" s="768">
        <v>1419487.3</v>
      </c>
      <c r="G923" s="768">
        <v>1419487.3</v>
      </c>
      <c r="H923" s="768">
        <v>783213.43</v>
      </c>
      <c r="I923" s="768">
        <v>636273.87</v>
      </c>
    </row>
    <row r="924" spans="2:9" x14ac:dyDescent="0.2">
      <c r="B924" s="274">
        <v>9</v>
      </c>
      <c r="C924" s="826" t="s">
        <v>1850</v>
      </c>
      <c r="D924" s="273" t="s">
        <v>1851</v>
      </c>
      <c r="E924" s="768">
        <v>0</v>
      </c>
      <c r="F924" s="768">
        <v>110249.05</v>
      </c>
      <c r="G924" s="768">
        <v>110249.05</v>
      </c>
      <c r="H924" s="768">
        <v>0</v>
      </c>
      <c r="I924" s="768">
        <v>110249.05</v>
      </c>
    </row>
    <row r="925" spans="2:9" x14ac:dyDescent="0.2">
      <c r="B925" s="274">
        <v>9</v>
      </c>
      <c r="C925" s="826" t="s">
        <v>3146</v>
      </c>
      <c r="D925" s="273" t="s">
        <v>3147</v>
      </c>
      <c r="E925" s="768">
        <v>0</v>
      </c>
      <c r="F925" s="768">
        <v>4874400</v>
      </c>
      <c r="G925" s="768">
        <v>4874400</v>
      </c>
      <c r="H925" s="768">
        <v>0</v>
      </c>
      <c r="I925" s="768">
        <v>4874400</v>
      </c>
    </row>
    <row r="926" spans="2:9" x14ac:dyDescent="0.2">
      <c r="B926" s="274">
        <v>9</v>
      </c>
      <c r="C926" s="826" t="s">
        <v>3763</v>
      </c>
      <c r="D926" s="273" t="s">
        <v>3764</v>
      </c>
      <c r="E926" s="768">
        <v>0</v>
      </c>
      <c r="F926" s="768">
        <v>500000</v>
      </c>
      <c r="G926" s="768">
        <v>500000</v>
      </c>
      <c r="H926" s="768">
        <v>0</v>
      </c>
      <c r="I926" s="768">
        <v>500000</v>
      </c>
    </row>
    <row r="927" spans="2:9" x14ac:dyDescent="0.2">
      <c r="B927" s="274">
        <v>9</v>
      </c>
      <c r="C927" s="826" t="s">
        <v>1852</v>
      </c>
      <c r="D927" s="273" t="s">
        <v>1853</v>
      </c>
      <c r="E927" s="768">
        <v>0</v>
      </c>
      <c r="F927" s="768">
        <v>44277.5</v>
      </c>
      <c r="G927" s="768">
        <v>44277.5</v>
      </c>
      <c r="H927" s="768">
        <v>0</v>
      </c>
      <c r="I927" s="768">
        <v>44277.5</v>
      </c>
    </row>
    <row r="928" spans="2:9" x14ac:dyDescent="0.2">
      <c r="B928" s="274">
        <v>9</v>
      </c>
      <c r="C928" s="826" t="s">
        <v>2434</v>
      </c>
      <c r="D928" s="273" t="s">
        <v>2435</v>
      </c>
      <c r="E928" s="768">
        <v>0</v>
      </c>
      <c r="F928" s="768">
        <v>242785</v>
      </c>
      <c r="G928" s="768">
        <v>242785</v>
      </c>
      <c r="H928" s="768">
        <v>242785</v>
      </c>
      <c r="I928" s="768">
        <v>0</v>
      </c>
    </row>
    <row r="929" spans="2:9" x14ac:dyDescent="0.2">
      <c r="B929" s="274">
        <v>9</v>
      </c>
      <c r="C929" s="826" t="s">
        <v>2436</v>
      </c>
      <c r="D929" s="273" t="s">
        <v>2437</v>
      </c>
      <c r="E929" s="768">
        <v>0</v>
      </c>
      <c r="F929" s="768">
        <v>1992709.85</v>
      </c>
      <c r="G929" s="768">
        <v>1992709.85</v>
      </c>
      <c r="H929" s="768">
        <v>0</v>
      </c>
      <c r="I929" s="768">
        <v>1992709.85</v>
      </c>
    </row>
    <row r="930" spans="2:9" x14ac:dyDescent="0.2">
      <c r="B930" s="274">
        <v>9</v>
      </c>
      <c r="C930" s="826" t="s">
        <v>2438</v>
      </c>
      <c r="D930" s="273" t="s">
        <v>2439</v>
      </c>
      <c r="E930" s="768">
        <v>0</v>
      </c>
      <c r="F930" s="768">
        <v>1730726.2</v>
      </c>
      <c r="G930" s="768">
        <v>1730726.2</v>
      </c>
      <c r="H930" s="768">
        <v>1601614.4</v>
      </c>
      <c r="I930" s="768">
        <v>129111.8</v>
      </c>
    </row>
    <row r="931" spans="2:9" x14ac:dyDescent="0.2">
      <c r="B931" s="274">
        <v>9</v>
      </c>
      <c r="C931" s="826" t="s">
        <v>2440</v>
      </c>
      <c r="D931" s="273" t="s">
        <v>2441</v>
      </c>
      <c r="E931" s="768">
        <v>0</v>
      </c>
      <c r="F931" s="768">
        <v>878591.7</v>
      </c>
      <c r="G931" s="768">
        <v>878591.7</v>
      </c>
      <c r="H931" s="768">
        <v>-5923</v>
      </c>
      <c r="I931" s="768">
        <v>884514.7</v>
      </c>
    </row>
    <row r="932" spans="2:9" x14ac:dyDescent="0.2">
      <c r="B932" s="274">
        <v>9</v>
      </c>
      <c r="C932" s="826" t="s">
        <v>2442</v>
      </c>
      <c r="D932" s="273" t="s">
        <v>2443</v>
      </c>
      <c r="E932" s="768">
        <v>0</v>
      </c>
      <c r="F932" s="768">
        <v>5280544.4000000004</v>
      </c>
      <c r="G932" s="768">
        <v>5280544.4000000004</v>
      </c>
      <c r="H932" s="768">
        <v>876458</v>
      </c>
      <c r="I932" s="768">
        <v>4404086.4000000004</v>
      </c>
    </row>
    <row r="933" spans="2:9" x14ac:dyDescent="0.2">
      <c r="B933" s="274">
        <v>9</v>
      </c>
      <c r="C933" s="826" t="s">
        <v>2444</v>
      </c>
      <c r="D933" s="273" t="s">
        <v>2445</v>
      </c>
      <c r="E933" s="768">
        <v>0</v>
      </c>
      <c r="F933" s="768">
        <v>2097650</v>
      </c>
      <c r="G933" s="768">
        <v>2097650</v>
      </c>
      <c r="H933" s="768">
        <v>0</v>
      </c>
      <c r="I933" s="768">
        <v>2097650</v>
      </c>
    </row>
    <row r="934" spans="2:9" x14ac:dyDescent="0.2">
      <c r="B934" s="274">
        <v>9</v>
      </c>
      <c r="C934" s="826" t="s">
        <v>3765</v>
      </c>
      <c r="D934" s="273" t="s">
        <v>3766</v>
      </c>
      <c r="E934" s="768">
        <v>0</v>
      </c>
      <c r="F934" s="768">
        <v>1050000</v>
      </c>
      <c r="G934" s="768">
        <v>1050000</v>
      </c>
      <c r="H934" s="768">
        <v>119400</v>
      </c>
      <c r="I934" s="768">
        <v>930600</v>
      </c>
    </row>
    <row r="935" spans="2:9" x14ac:dyDescent="0.2">
      <c r="B935" s="274">
        <v>9</v>
      </c>
      <c r="C935" s="826" t="s">
        <v>2446</v>
      </c>
      <c r="D935" s="273" t="s">
        <v>2447</v>
      </c>
      <c r="E935" s="768">
        <v>0</v>
      </c>
      <c r="F935" s="768">
        <v>1330000</v>
      </c>
      <c r="G935" s="768">
        <v>1330000</v>
      </c>
      <c r="H935" s="768">
        <v>386941.95</v>
      </c>
      <c r="I935" s="768">
        <v>943058.05</v>
      </c>
    </row>
    <row r="936" spans="2:9" x14ac:dyDescent="0.2">
      <c r="B936" s="274">
        <v>9</v>
      </c>
      <c r="C936" s="826" t="s">
        <v>2448</v>
      </c>
      <c r="D936" s="273" t="s">
        <v>2449</v>
      </c>
      <c r="E936" s="768">
        <v>0</v>
      </c>
      <c r="F936" s="768">
        <v>19134.5</v>
      </c>
      <c r="G936" s="768">
        <v>19134.5</v>
      </c>
      <c r="H936" s="768">
        <v>0</v>
      </c>
      <c r="I936" s="768">
        <v>19134.5</v>
      </c>
    </row>
    <row r="937" spans="2:9" x14ac:dyDescent="0.2">
      <c r="B937" s="274">
        <v>9</v>
      </c>
      <c r="C937" s="826" t="s">
        <v>2450</v>
      </c>
      <c r="D937" s="273" t="s">
        <v>2451</v>
      </c>
      <c r="E937" s="768">
        <v>0</v>
      </c>
      <c r="F937" s="768">
        <v>666257.5</v>
      </c>
      <c r="G937" s="768">
        <v>666257.5</v>
      </c>
      <c r="H937" s="768">
        <v>623000</v>
      </c>
      <c r="I937" s="768">
        <v>43257.5</v>
      </c>
    </row>
    <row r="938" spans="2:9" x14ac:dyDescent="0.2">
      <c r="B938" s="274">
        <v>9</v>
      </c>
      <c r="C938" s="826" t="s">
        <v>3148</v>
      </c>
      <c r="D938" s="273" t="s">
        <v>3149</v>
      </c>
      <c r="E938" s="768">
        <v>0</v>
      </c>
      <c r="F938" s="768">
        <v>6850000</v>
      </c>
      <c r="G938" s="768">
        <v>6850000</v>
      </c>
      <c r="H938" s="768">
        <v>3160101.9</v>
      </c>
      <c r="I938" s="768">
        <v>3689898.1</v>
      </c>
    </row>
    <row r="939" spans="2:9" x14ac:dyDescent="0.2">
      <c r="B939" s="274">
        <v>9</v>
      </c>
      <c r="C939" s="826" t="s">
        <v>3150</v>
      </c>
      <c r="D939" s="273" t="s">
        <v>3151</v>
      </c>
      <c r="E939" s="768">
        <v>0</v>
      </c>
      <c r="F939" s="768">
        <v>12700000</v>
      </c>
      <c r="G939" s="768">
        <v>12700000</v>
      </c>
      <c r="H939" s="768">
        <v>1941549.55</v>
      </c>
      <c r="I939" s="768">
        <v>10758450.449999999</v>
      </c>
    </row>
    <row r="940" spans="2:9" x14ac:dyDescent="0.2">
      <c r="B940" s="274">
        <v>9</v>
      </c>
      <c r="C940" s="826" t="s">
        <v>3152</v>
      </c>
      <c r="D940" s="273" t="s">
        <v>3153</v>
      </c>
      <c r="E940" s="768">
        <v>0</v>
      </c>
      <c r="F940" s="768">
        <v>6240000</v>
      </c>
      <c r="G940" s="768">
        <v>6240000</v>
      </c>
      <c r="H940" s="768">
        <v>1053651.8999999999</v>
      </c>
      <c r="I940" s="768">
        <v>5186348.0999999996</v>
      </c>
    </row>
    <row r="941" spans="2:9" x14ac:dyDescent="0.2">
      <c r="B941" s="274">
        <v>9</v>
      </c>
      <c r="C941" s="826" t="s">
        <v>3154</v>
      </c>
      <c r="D941" s="273" t="s">
        <v>3155</v>
      </c>
      <c r="E941" s="768">
        <v>0</v>
      </c>
      <c r="F941" s="768">
        <v>10406149.199999999</v>
      </c>
      <c r="G941" s="768">
        <v>10406149.199999999</v>
      </c>
      <c r="H941" s="768">
        <v>3219135.15</v>
      </c>
      <c r="I941" s="768">
        <v>7187014.0499999998</v>
      </c>
    </row>
    <row r="942" spans="2:9" x14ac:dyDescent="0.2">
      <c r="B942" s="274">
        <v>9</v>
      </c>
      <c r="C942" s="826" t="s">
        <v>3156</v>
      </c>
      <c r="D942" s="273" t="s">
        <v>3157</v>
      </c>
      <c r="E942" s="768">
        <v>0</v>
      </c>
      <c r="F942" s="768">
        <v>121932540</v>
      </c>
      <c r="G942" s="768">
        <v>121932540</v>
      </c>
      <c r="H942" s="768">
        <v>30970645</v>
      </c>
      <c r="I942" s="768">
        <v>90961895</v>
      </c>
    </row>
    <row r="943" spans="2:9" x14ac:dyDescent="0.2">
      <c r="B943" s="274">
        <v>9</v>
      </c>
      <c r="C943" s="826" t="s">
        <v>3158</v>
      </c>
      <c r="D943" s="273" t="s">
        <v>3159</v>
      </c>
      <c r="E943" s="768">
        <v>0</v>
      </c>
      <c r="F943" s="768">
        <v>590776.69999999995</v>
      </c>
      <c r="G943" s="768">
        <v>590776.69999999995</v>
      </c>
      <c r="H943" s="768">
        <v>0</v>
      </c>
      <c r="I943" s="768">
        <v>590776.69999999995</v>
      </c>
    </row>
    <row r="944" spans="2:9" x14ac:dyDescent="0.2">
      <c r="B944" s="274">
        <v>9</v>
      </c>
      <c r="C944" s="826" t="s">
        <v>3160</v>
      </c>
      <c r="D944" s="273" t="s">
        <v>3161</v>
      </c>
      <c r="E944" s="768">
        <v>0</v>
      </c>
      <c r="F944" s="768">
        <v>3560000</v>
      </c>
      <c r="G944" s="768">
        <v>3560000</v>
      </c>
      <c r="H944" s="768">
        <v>549388</v>
      </c>
      <c r="I944" s="768">
        <v>3010612</v>
      </c>
    </row>
    <row r="945" spans="2:9" x14ac:dyDescent="0.2">
      <c r="B945" s="274">
        <v>9</v>
      </c>
      <c r="C945" s="826" t="s">
        <v>3162</v>
      </c>
      <c r="D945" s="273" t="s">
        <v>3163</v>
      </c>
      <c r="E945" s="768">
        <v>0</v>
      </c>
      <c r="F945" s="768">
        <v>4350000</v>
      </c>
      <c r="G945" s="768">
        <v>4350000</v>
      </c>
      <c r="H945" s="768">
        <v>1777488</v>
      </c>
      <c r="I945" s="768">
        <v>2572512</v>
      </c>
    </row>
    <row r="946" spans="2:9" x14ac:dyDescent="0.2">
      <c r="B946" s="274">
        <v>9</v>
      </c>
      <c r="C946" s="826" t="s">
        <v>3164</v>
      </c>
      <c r="D946" s="273" t="s">
        <v>3165</v>
      </c>
      <c r="E946" s="768">
        <v>0</v>
      </c>
      <c r="F946" s="768">
        <v>6773749</v>
      </c>
      <c r="G946" s="768">
        <v>6773749</v>
      </c>
      <c r="H946" s="768">
        <v>5007749</v>
      </c>
      <c r="I946" s="768">
        <v>1766000</v>
      </c>
    </row>
    <row r="947" spans="2:9" x14ac:dyDescent="0.2">
      <c r="B947" s="274">
        <v>9</v>
      </c>
      <c r="C947" s="826" t="s">
        <v>3166</v>
      </c>
      <c r="D947" s="273" t="s">
        <v>3167</v>
      </c>
      <c r="E947" s="768">
        <v>0</v>
      </c>
      <c r="F947" s="768">
        <v>10610984</v>
      </c>
      <c r="G947" s="768">
        <v>10610984</v>
      </c>
      <c r="H947" s="768">
        <v>3612058.33</v>
      </c>
      <c r="I947" s="768">
        <v>6998925.6699999999</v>
      </c>
    </row>
    <row r="948" spans="2:9" x14ac:dyDescent="0.2">
      <c r="B948" s="274">
        <v>9</v>
      </c>
      <c r="C948" s="826" t="s">
        <v>3168</v>
      </c>
      <c r="D948" s="273" t="s">
        <v>3169</v>
      </c>
      <c r="E948" s="768">
        <v>0</v>
      </c>
      <c r="F948" s="768">
        <v>10301492.75</v>
      </c>
      <c r="G948" s="768">
        <v>10301492.75</v>
      </c>
      <c r="H948" s="768">
        <v>596295.80000000005</v>
      </c>
      <c r="I948" s="768">
        <v>9705196.9499999993</v>
      </c>
    </row>
    <row r="949" spans="2:9" x14ac:dyDescent="0.2">
      <c r="B949" s="274">
        <v>9</v>
      </c>
      <c r="C949" s="826" t="s">
        <v>448</v>
      </c>
      <c r="D949" s="273" t="s">
        <v>449</v>
      </c>
      <c r="E949" s="768">
        <v>0</v>
      </c>
      <c r="F949" s="768">
        <v>43488917.670000002</v>
      </c>
      <c r="G949" s="768">
        <v>43488917.670000002</v>
      </c>
      <c r="H949" s="768">
        <v>21235988.190000001</v>
      </c>
      <c r="I949" s="768">
        <v>22252929.48</v>
      </c>
    </row>
    <row r="950" spans="2:9" x14ac:dyDescent="0.2">
      <c r="B950" s="274">
        <v>9</v>
      </c>
      <c r="C950" s="826" t="s">
        <v>1035</v>
      </c>
      <c r="D950" s="273" t="s">
        <v>1036</v>
      </c>
      <c r="E950" s="768">
        <v>0</v>
      </c>
      <c r="F950" s="768">
        <v>363679.6</v>
      </c>
      <c r="G950" s="768">
        <v>363679.6</v>
      </c>
      <c r="H950" s="768">
        <v>0</v>
      </c>
      <c r="I950" s="768">
        <v>363679.6</v>
      </c>
    </row>
    <row r="951" spans="2:9" x14ac:dyDescent="0.2">
      <c r="B951" s="274">
        <v>9</v>
      </c>
      <c r="C951" s="826" t="s">
        <v>729</v>
      </c>
      <c r="D951" s="273" t="s">
        <v>730</v>
      </c>
      <c r="E951" s="768">
        <v>0</v>
      </c>
      <c r="F951" s="768">
        <v>14897376.07</v>
      </c>
      <c r="G951" s="768">
        <v>14897376.07</v>
      </c>
      <c r="H951" s="768">
        <v>12134112.189999999</v>
      </c>
      <c r="I951" s="768">
        <v>2763263.88</v>
      </c>
    </row>
    <row r="952" spans="2:9" x14ac:dyDescent="0.2">
      <c r="B952" s="274">
        <v>9</v>
      </c>
      <c r="C952" s="826" t="s">
        <v>1641</v>
      </c>
      <c r="D952" s="273" t="s">
        <v>1642</v>
      </c>
      <c r="E952" s="768">
        <v>0</v>
      </c>
      <c r="F952" s="768">
        <v>16427862</v>
      </c>
      <c r="G952" s="768">
        <v>16427862</v>
      </c>
      <c r="H952" s="768">
        <v>5477423.5</v>
      </c>
      <c r="I952" s="768">
        <v>10950438.5</v>
      </c>
    </row>
    <row r="953" spans="2:9" x14ac:dyDescent="0.2">
      <c r="B953" s="274">
        <v>9</v>
      </c>
      <c r="C953" s="826" t="s">
        <v>1643</v>
      </c>
      <c r="D953" s="273" t="s">
        <v>2452</v>
      </c>
      <c r="E953" s="768">
        <v>0</v>
      </c>
      <c r="F953" s="768">
        <v>11800000</v>
      </c>
      <c r="G953" s="768">
        <v>11800000</v>
      </c>
      <c r="H953" s="768">
        <v>3624452.5</v>
      </c>
      <c r="I953" s="768">
        <v>8175547.5</v>
      </c>
    </row>
    <row r="954" spans="2:9" x14ac:dyDescent="0.2">
      <c r="B954" s="274">
        <v>9</v>
      </c>
      <c r="C954" s="826" t="s">
        <v>1144</v>
      </c>
      <c r="D954" s="273" t="s">
        <v>449</v>
      </c>
      <c r="E954" s="768">
        <v>100000000</v>
      </c>
      <c r="F954" s="768">
        <v>-73720904.25</v>
      </c>
      <c r="G954" s="768">
        <v>26279095.75</v>
      </c>
      <c r="H954" s="768">
        <v>0</v>
      </c>
      <c r="I954" s="768">
        <v>26279095.75</v>
      </c>
    </row>
    <row r="956" spans="2:9" s="771" customFormat="1" x14ac:dyDescent="0.2">
      <c r="B956" s="766">
        <v>9</v>
      </c>
      <c r="C956" s="824" t="s">
        <v>364</v>
      </c>
      <c r="D956" s="771" t="s">
        <v>1195</v>
      </c>
      <c r="E956" s="825">
        <v>3500000</v>
      </c>
      <c r="F956" s="825">
        <v>306953490.39999998</v>
      </c>
      <c r="G956" s="825">
        <v>310453490.39999998</v>
      </c>
      <c r="H956" s="825">
        <v>7265175.2699999996</v>
      </c>
      <c r="I956" s="825">
        <v>303188315.13</v>
      </c>
    </row>
    <row r="957" spans="2:9" x14ac:dyDescent="0.2">
      <c r="B957" s="274">
        <v>9</v>
      </c>
      <c r="C957" s="826" t="s">
        <v>689</v>
      </c>
      <c r="D957" s="273" t="s">
        <v>878</v>
      </c>
      <c r="E957" s="768">
        <v>3500000</v>
      </c>
      <c r="F957" s="768">
        <v>306953490.39999998</v>
      </c>
      <c r="G957" s="768">
        <v>310453490.39999998</v>
      </c>
      <c r="H957" s="768">
        <v>7265175.2699999996</v>
      </c>
      <c r="I957" s="768">
        <v>303188315.13</v>
      </c>
    </row>
    <row r="958" spans="2:9" x14ac:dyDescent="0.2">
      <c r="B958" s="274">
        <v>9</v>
      </c>
      <c r="C958" s="826" t="s">
        <v>166</v>
      </c>
      <c r="D958" s="273" t="s">
        <v>167</v>
      </c>
      <c r="E958" s="768">
        <v>0</v>
      </c>
      <c r="F958" s="768">
        <v>50453490.399999999</v>
      </c>
      <c r="G958" s="768">
        <v>50453490.399999999</v>
      </c>
      <c r="H958" s="768">
        <v>7265175.2699999996</v>
      </c>
      <c r="I958" s="768">
        <v>43188315.130000003</v>
      </c>
    </row>
    <row r="959" spans="2:9" x14ac:dyDescent="0.2">
      <c r="B959" s="274">
        <v>9</v>
      </c>
      <c r="C959" s="826" t="s">
        <v>168</v>
      </c>
      <c r="D959" s="273" t="s">
        <v>1644</v>
      </c>
      <c r="E959" s="768">
        <v>0</v>
      </c>
      <c r="F959" s="768">
        <v>1300000</v>
      </c>
      <c r="G959" s="768">
        <v>1300000</v>
      </c>
      <c r="H959" s="768">
        <v>162200</v>
      </c>
      <c r="I959" s="768">
        <v>1137800</v>
      </c>
    </row>
    <row r="960" spans="2:9" x14ac:dyDescent="0.2">
      <c r="B960" s="274">
        <v>9</v>
      </c>
      <c r="C960" s="826" t="s">
        <v>419</v>
      </c>
      <c r="D960" s="273" t="s">
        <v>1645</v>
      </c>
      <c r="E960" s="768">
        <v>0</v>
      </c>
      <c r="F960" s="768">
        <v>1437736</v>
      </c>
      <c r="G960" s="768">
        <v>1437736</v>
      </c>
      <c r="H960" s="768">
        <v>45500</v>
      </c>
      <c r="I960" s="768">
        <v>1392236</v>
      </c>
    </row>
    <row r="961" spans="2:9" x14ac:dyDescent="0.2">
      <c r="B961" s="274">
        <v>9</v>
      </c>
      <c r="C961" s="826" t="s">
        <v>169</v>
      </c>
      <c r="D961" s="273" t="s">
        <v>1646</v>
      </c>
      <c r="E961" s="768">
        <v>0</v>
      </c>
      <c r="F961" s="768">
        <v>4433612</v>
      </c>
      <c r="G961" s="768">
        <v>4433612</v>
      </c>
      <c r="H961" s="768">
        <v>491085.6</v>
      </c>
      <c r="I961" s="768">
        <v>3942526.4</v>
      </c>
    </row>
    <row r="962" spans="2:9" x14ac:dyDescent="0.2">
      <c r="B962" s="274">
        <v>9</v>
      </c>
      <c r="C962" s="826" t="s">
        <v>170</v>
      </c>
      <c r="D962" s="273" t="s">
        <v>171</v>
      </c>
      <c r="E962" s="768">
        <v>0</v>
      </c>
      <c r="F962" s="768">
        <v>1040000</v>
      </c>
      <c r="G962" s="768">
        <v>1040000</v>
      </c>
      <c r="H962" s="768">
        <v>0</v>
      </c>
      <c r="I962" s="768">
        <v>1040000</v>
      </c>
    </row>
    <row r="963" spans="2:9" x14ac:dyDescent="0.2">
      <c r="B963" s="274">
        <v>9</v>
      </c>
      <c r="C963" s="826" t="s">
        <v>861</v>
      </c>
      <c r="D963" s="273" t="s">
        <v>862</v>
      </c>
      <c r="E963" s="768">
        <v>0</v>
      </c>
      <c r="F963" s="768">
        <v>50208.7</v>
      </c>
      <c r="G963" s="768">
        <v>50208.7</v>
      </c>
      <c r="H963" s="768">
        <v>0</v>
      </c>
      <c r="I963" s="768">
        <v>50208.7</v>
      </c>
    </row>
    <row r="964" spans="2:9" x14ac:dyDescent="0.2">
      <c r="B964" s="274">
        <v>9</v>
      </c>
      <c r="C964" s="826" t="s">
        <v>1554</v>
      </c>
      <c r="D964" s="273" t="s">
        <v>1555</v>
      </c>
      <c r="E964" s="768">
        <v>0</v>
      </c>
      <c r="F964" s="768">
        <v>1822032.8</v>
      </c>
      <c r="G964" s="768">
        <v>1822032.8</v>
      </c>
      <c r="H964" s="768">
        <v>217878.52</v>
      </c>
      <c r="I964" s="768">
        <v>1604154.28</v>
      </c>
    </row>
    <row r="965" spans="2:9" x14ac:dyDescent="0.2">
      <c r="B965" s="274">
        <v>9</v>
      </c>
      <c r="C965" s="826" t="s">
        <v>1647</v>
      </c>
      <c r="D965" s="273" t="s">
        <v>1854</v>
      </c>
      <c r="E965" s="768">
        <v>0</v>
      </c>
      <c r="F965" s="768">
        <v>8290000</v>
      </c>
      <c r="G965" s="768">
        <v>8290000</v>
      </c>
      <c r="H965" s="768">
        <v>464823</v>
      </c>
      <c r="I965" s="768">
        <v>7825177</v>
      </c>
    </row>
    <row r="966" spans="2:9" x14ac:dyDescent="0.2">
      <c r="B966" s="274">
        <v>9</v>
      </c>
      <c r="C966" s="826" t="s">
        <v>1648</v>
      </c>
      <c r="D966" s="273" t="s">
        <v>2453</v>
      </c>
      <c r="E966" s="768">
        <v>0</v>
      </c>
      <c r="F966" s="768">
        <v>2258801</v>
      </c>
      <c r="G966" s="768">
        <v>2258801</v>
      </c>
      <c r="H966" s="768">
        <v>1235000</v>
      </c>
      <c r="I966" s="768">
        <v>1023801</v>
      </c>
    </row>
    <row r="967" spans="2:9" x14ac:dyDescent="0.2">
      <c r="B967" s="274">
        <v>9</v>
      </c>
      <c r="C967" s="826" t="s">
        <v>1649</v>
      </c>
      <c r="D967" s="273" t="s">
        <v>1703</v>
      </c>
      <c r="E967" s="768">
        <v>0</v>
      </c>
      <c r="F967" s="768">
        <v>24762.9</v>
      </c>
      <c r="G967" s="768">
        <v>24762.9</v>
      </c>
      <c r="H967" s="768">
        <v>0</v>
      </c>
      <c r="I967" s="768">
        <v>24762.9</v>
      </c>
    </row>
    <row r="968" spans="2:9" x14ac:dyDescent="0.2">
      <c r="B968" s="274">
        <v>9</v>
      </c>
      <c r="C968" s="826" t="s">
        <v>1753</v>
      </c>
      <c r="D968" s="273" t="s">
        <v>1855</v>
      </c>
      <c r="E968" s="768">
        <v>0</v>
      </c>
      <c r="F968" s="768">
        <v>1070000</v>
      </c>
      <c r="G968" s="768">
        <v>1070000</v>
      </c>
      <c r="H968" s="768">
        <v>35385</v>
      </c>
      <c r="I968" s="768">
        <v>1034615</v>
      </c>
    </row>
    <row r="969" spans="2:9" x14ac:dyDescent="0.2">
      <c r="B969" s="274">
        <v>9</v>
      </c>
      <c r="C969" s="826" t="s">
        <v>1856</v>
      </c>
      <c r="D969" s="273" t="s">
        <v>1857</v>
      </c>
      <c r="E969" s="768">
        <v>0</v>
      </c>
      <c r="F969" s="768">
        <v>520000</v>
      </c>
      <c r="G969" s="768">
        <v>520000</v>
      </c>
      <c r="H969" s="768">
        <v>0</v>
      </c>
      <c r="I969" s="768">
        <v>520000</v>
      </c>
    </row>
    <row r="970" spans="2:9" x14ac:dyDescent="0.2">
      <c r="B970" s="274">
        <v>9</v>
      </c>
      <c r="C970" s="826" t="s">
        <v>2454</v>
      </c>
      <c r="D970" s="273" t="s">
        <v>2455</v>
      </c>
      <c r="E970" s="768">
        <v>0</v>
      </c>
      <c r="F970" s="768">
        <v>8900000</v>
      </c>
      <c r="G970" s="768">
        <v>8900000</v>
      </c>
      <c r="H970" s="768">
        <v>1548882</v>
      </c>
      <c r="I970" s="768">
        <v>7351118</v>
      </c>
    </row>
    <row r="971" spans="2:9" x14ac:dyDescent="0.2">
      <c r="B971" s="274">
        <v>9</v>
      </c>
      <c r="C971" s="826" t="s">
        <v>2456</v>
      </c>
      <c r="D971" s="273" t="s">
        <v>2457</v>
      </c>
      <c r="E971" s="768">
        <v>0</v>
      </c>
      <c r="F971" s="768">
        <v>750000</v>
      </c>
      <c r="G971" s="768">
        <v>750000</v>
      </c>
      <c r="H971" s="768">
        <v>700000</v>
      </c>
      <c r="I971" s="768">
        <v>50000</v>
      </c>
    </row>
    <row r="972" spans="2:9" x14ac:dyDescent="0.2">
      <c r="B972" s="274">
        <v>9</v>
      </c>
      <c r="C972" s="826" t="s">
        <v>2458</v>
      </c>
      <c r="D972" s="273" t="s">
        <v>2459</v>
      </c>
      <c r="E972" s="768">
        <v>0</v>
      </c>
      <c r="F972" s="768">
        <v>711270</v>
      </c>
      <c r="G972" s="768">
        <v>711270</v>
      </c>
      <c r="H972" s="768">
        <v>0</v>
      </c>
      <c r="I972" s="768">
        <v>711270</v>
      </c>
    </row>
    <row r="973" spans="2:9" x14ac:dyDescent="0.2">
      <c r="B973" s="274">
        <v>9</v>
      </c>
      <c r="C973" s="826" t="s">
        <v>3170</v>
      </c>
      <c r="D973" s="273" t="s">
        <v>3171</v>
      </c>
      <c r="E973" s="768">
        <v>0</v>
      </c>
      <c r="F973" s="768">
        <v>2209800</v>
      </c>
      <c r="G973" s="768">
        <v>2209800</v>
      </c>
      <c r="H973" s="768">
        <v>0</v>
      </c>
      <c r="I973" s="768">
        <v>2209800</v>
      </c>
    </row>
    <row r="974" spans="2:9" x14ac:dyDescent="0.2">
      <c r="B974" s="274">
        <v>9</v>
      </c>
      <c r="C974" s="826" t="s">
        <v>3172</v>
      </c>
      <c r="D974" s="273" t="s">
        <v>3173</v>
      </c>
      <c r="E974" s="768">
        <v>0</v>
      </c>
      <c r="F974" s="768">
        <v>7424667</v>
      </c>
      <c r="G974" s="768">
        <v>7424667</v>
      </c>
      <c r="H974" s="768">
        <v>1212958</v>
      </c>
      <c r="I974" s="768">
        <v>6211709</v>
      </c>
    </row>
    <row r="975" spans="2:9" x14ac:dyDescent="0.2">
      <c r="B975" s="274">
        <v>9</v>
      </c>
      <c r="C975" s="826" t="s">
        <v>3174</v>
      </c>
      <c r="D975" s="273" t="s">
        <v>3175</v>
      </c>
      <c r="E975" s="768">
        <v>0</v>
      </c>
      <c r="F975" s="768">
        <v>8210600</v>
      </c>
      <c r="G975" s="768">
        <v>8210600</v>
      </c>
      <c r="H975" s="768">
        <v>1151463.1499999999</v>
      </c>
      <c r="I975" s="768">
        <v>7059136.8499999996</v>
      </c>
    </row>
    <row r="976" spans="2:9" x14ac:dyDescent="0.2">
      <c r="B976" s="274">
        <v>9</v>
      </c>
      <c r="C976" s="826" t="s">
        <v>173</v>
      </c>
      <c r="D976" s="273" t="s">
        <v>167</v>
      </c>
      <c r="E976" s="768">
        <v>3500000</v>
      </c>
      <c r="F976" s="768">
        <v>256500000</v>
      </c>
      <c r="G976" s="768">
        <v>260000000</v>
      </c>
      <c r="H976" s="768">
        <v>0</v>
      </c>
      <c r="I976" s="768">
        <v>260000000</v>
      </c>
    </row>
    <row r="978" spans="2:9" s="771" customFormat="1" x14ac:dyDescent="0.2">
      <c r="B978" s="766">
        <v>9</v>
      </c>
      <c r="C978" s="824" t="s">
        <v>1396</v>
      </c>
      <c r="D978" s="771" t="s">
        <v>1215</v>
      </c>
      <c r="E978" s="825">
        <v>0</v>
      </c>
      <c r="F978" s="825">
        <v>291450900</v>
      </c>
      <c r="G978" s="825">
        <v>291450900</v>
      </c>
      <c r="H978" s="825">
        <v>169838439.59999999</v>
      </c>
      <c r="I978" s="825">
        <v>121612460.40000001</v>
      </c>
    </row>
    <row r="979" spans="2:9" x14ac:dyDescent="0.2">
      <c r="B979" s="274">
        <v>9</v>
      </c>
      <c r="C979" s="826" t="s">
        <v>690</v>
      </c>
      <c r="D979" s="273" t="s">
        <v>878</v>
      </c>
      <c r="E979" s="768">
        <v>0</v>
      </c>
      <c r="F979" s="768">
        <v>291450900</v>
      </c>
      <c r="G979" s="768">
        <v>291450900</v>
      </c>
      <c r="H979" s="768">
        <v>169838439.59999999</v>
      </c>
      <c r="I979" s="768">
        <v>121612460.40000001</v>
      </c>
    </row>
    <row r="980" spans="2:9" x14ac:dyDescent="0.2">
      <c r="B980" s="274">
        <v>9</v>
      </c>
      <c r="C980" s="826" t="s">
        <v>482</v>
      </c>
      <c r="D980" s="273" t="s">
        <v>483</v>
      </c>
      <c r="E980" s="768">
        <v>0</v>
      </c>
      <c r="F980" s="768">
        <v>342905707.08999997</v>
      </c>
      <c r="G980" s="768">
        <v>342905707.08999997</v>
      </c>
      <c r="H980" s="768">
        <v>169838439.59999999</v>
      </c>
      <c r="I980" s="768">
        <v>173067267.49000001</v>
      </c>
    </row>
    <row r="981" spans="2:9" x14ac:dyDescent="0.2">
      <c r="B981" s="274">
        <v>9</v>
      </c>
      <c r="C981" s="826" t="s">
        <v>484</v>
      </c>
      <c r="D981" s="273" t="s">
        <v>1650</v>
      </c>
      <c r="E981" s="768">
        <v>0</v>
      </c>
      <c r="F981" s="768">
        <v>23750000</v>
      </c>
      <c r="G981" s="768">
        <v>23750000</v>
      </c>
      <c r="H981" s="768">
        <v>15695455</v>
      </c>
      <c r="I981" s="768">
        <v>8054545</v>
      </c>
    </row>
    <row r="982" spans="2:9" x14ac:dyDescent="0.2">
      <c r="B982" s="274">
        <v>9</v>
      </c>
      <c r="C982" s="826" t="s">
        <v>420</v>
      </c>
      <c r="D982" s="273" t="s">
        <v>1858</v>
      </c>
      <c r="E982" s="768">
        <v>0</v>
      </c>
      <c r="F982" s="768">
        <v>8192900</v>
      </c>
      <c r="G982" s="768">
        <v>8192900</v>
      </c>
      <c r="H982" s="768">
        <v>393584.15</v>
      </c>
      <c r="I982" s="768">
        <v>7799315.8499999996</v>
      </c>
    </row>
    <row r="983" spans="2:9" x14ac:dyDescent="0.2">
      <c r="B983" s="274">
        <v>9</v>
      </c>
      <c r="C983" s="826" t="s">
        <v>2460</v>
      </c>
      <c r="D983" s="273" t="s">
        <v>2461</v>
      </c>
      <c r="E983" s="768">
        <v>0</v>
      </c>
      <c r="F983" s="768">
        <v>130000000</v>
      </c>
      <c r="G983" s="768">
        <v>130000000</v>
      </c>
      <c r="H983" s="768">
        <v>130000000</v>
      </c>
      <c r="I983" s="768">
        <v>0</v>
      </c>
    </row>
    <row r="984" spans="2:9" x14ac:dyDescent="0.2">
      <c r="B984" s="274">
        <v>9</v>
      </c>
      <c r="C984" s="826" t="s">
        <v>863</v>
      </c>
      <c r="D984" s="273" t="s">
        <v>1754</v>
      </c>
      <c r="E984" s="768">
        <v>0</v>
      </c>
      <c r="F984" s="768">
        <v>8520000</v>
      </c>
      <c r="G984" s="768">
        <v>8520000</v>
      </c>
      <c r="H984" s="768">
        <v>2283484.2000000002</v>
      </c>
      <c r="I984" s="768">
        <v>6236515.7999999998</v>
      </c>
    </row>
    <row r="985" spans="2:9" x14ac:dyDescent="0.2">
      <c r="B985" s="274">
        <v>9</v>
      </c>
      <c r="C985" s="826" t="s">
        <v>2462</v>
      </c>
      <c r="D985" s="273" t="s">
        <v>2463</v>
      </c>
      <c r="E985" s="768">
        <v>0</v>
      </c>
      <c r="F985" s="768">
        <v>12000000</v>
      </c>
      <c r="G985" s="768">
        <v>12000000</v>
      </c>
      <c r="H985" s="768">
        <v>0</v>
      </c>
      <c r="I985" s="768">
        <v>12000000</v>
      </c>
    </row>
    <row r="986" spans="2:9" x14ac:dyDescent="0.2">
      <c r="B986" s="274">
        <v>9</v>
      </c>
      <c r="C986" s="826" t="s">
        <v>1556</v>
      </c>
      <c r="D986" s="273" t="s">
        <v>2464</v>
      </c>
      <c r="E986" s="768">
        <v>0</v>
      </c>
      <c r="F986" s="768">
        <v>4000000</v>
      </c>
      <c r="G986" s="768">
        <v>4000000</v>
      </c>
      <c r="H986" s="768">
        <v>49470</v>
      </c>
      <c r="I986" s="768">
        <v>3950530</v>
      </c>
    </row>
    <row r="987" spans="2:9" x14ac:dyDescent="0.2">
      <c r="B987" s="274">
        <v>9</v>
      </c>
      <c r="C987" s="826" t="s">
        <v>1557</v>
      </c>
      <c r="D987" s="273" t="s">
        <v>1755</v>
      </c>
      <c r="E987" s="768">
        <v>0</v>
      </c>
      <c r="F987" s="768">
        <v>30228000</v>
      </c>
      <c r="G987" s="768">
        <v>30228000</v>
      </c>
      <c r="H987" s="768">
        <v>0</v>
      </c>
      <c r="I987" s="768">
        <v>30228000</v>
      </c>
    </row>
    <row r="988" spans="2:9" x14ac:dyDescent="0.2">
      <c r="B988" s="274">
        <v>9</v>
      </c>
      <c r="C988" s="826" t="s">
        <v>1756</v>
      </c>
      <c r="D988" s="273" t="s">
        <v>1757</v>
      </c>
      <c r="E988" s="768">
        <v>0</v>
      </c>
      <c r="F988" s="768">
        <v>59412190.090000004</v>
      </c>
      <c r="G988" s="768">
        <v>59412190.090000004</v>
      </c>
      <c r="H988" s="768">
        <v>21416446.25</v>
      </c>
      <c r="I988" s="768">
        <v>37995743.840000004</v>
      </c>
    </row>
    <row r="989" spans="2:9" x14ac:dyDescent="0.2">
      <c r="B989" s="274">
        <v>9</v>
      </c>
      <c r="C989" s="826" t="s">
        <v>1859</v>
      </c>
      <c r="D989" s="273" t="s">
        <v>1860</v>
      </c>
      <c r="E989" s="768">
        <v>0</v>
      </c>
      <c r="F989" s="768">
        <v>47042617</v>
      </c>
      <c r="G989" s="768">
        <v>47042617</v>
      </c>
      <c r="H989" s="768">
        <v>0</v>
      </c>
      <c r="I989" s="768">
        <v>47042617</v>
      </c>
    </row>
    <row r="990" spans="2:9" x14ac:dyDescent="0.2">
      <c r="B990" s="274">
        <v>9</v>
      </c>
      <c r="C990" s="826" t="s">
        <v>3176</v>
      </c>
      <c r="D990" s="273" t="s">
        <v>3177</v>
      </c>
      <c r="E990" s="768">
        <v>0</v>
      </c>
      <c r="F990" s="768">
        <v>19760000</v>
      </c>
      <c r="G990" s="768">
        <v>19760000</v>
      </c>
      <c r="H990" s="768">
        <v>0</v>
      </c>
      <c r="I990" s="768">
        <v>19760000</v>
      </c>
    </row>
    <row r="991" spans="2:9" x14ac:dyDescent="0.2">
      <c r="B991" s="274">
        <v>9</v>
      </c>
      <c r="C991" s="826" t="s">
        <v>485</v>
      </c>
      <c r="D991" s="273" t="s">
        <v>486</v>
      </c>
      <c r="E991" s="768">
        <v>0</v>
      </c>
      <c r="F991" s="768">
        <v>-51454807.090000004</v>
      </c>
      <c r="G991" s="768">
        <v>-51454807.090000004</v>
      </c>
      <c r="H991" s="768">
        <v>0</v>
      </c>
      <c r="I991" s="768">
        <v>-51454807.090000004</v>
      </c>
    </row>
    <row r="993" spans="2:9" s="771" customFormat="1" x14ac:dyDescent="0.2">
      <c r="B993" s="766">
        <v>9</v>
      </c>
      <c r="C993" s="824" t="s">
        <v>1402</v>
      </c>
      <c r="D993" s="771" t="s">
        <v>1412</v>
      </c>
      <c r="E993" s="825">
        <v>10000000</v>
      </c>
      <c r="F993" s="825">
        <v>150474546.43000001</v>
      </c>
      <c r="G993" s="825">
        <v>160474546.43000001</v>
      </c>
      <c r="H993" s="825">
        <v>54052291.009999998</v>
      </c>
      <c r="I993" s="825">
        <v>106422255.42</v>
      </c>
    </row>
    <row r="994" spans="2:9" x14ac:dyDescent="0.2">
      <c r="B994" s="274">
        <v>9</v>
      </c>
      <c r="C994" s="826" t="s">
        <v>489</v>
      </c>
      <c r="D994" s="273" t="s">
        <v>878</v>
      </c>
      <c r="E994" s="768">
        <v>10000000</v>
      </c>
      <c r="F994" s="768">
        <v>150474546.43000001</v>
      </c>
      <c r="G994" s="768">
        <v>160474546.43000001</v>
      </c>
      <c r="H994" s="768">
        <v>54052291.009999998</v>
      </c>
      <c r="I994" s="768">
        <v>106422255.42</v>
      </c>
    </row>
    <row r="995" spans="2:9" x14ac:dyDescent="0.2">
      <c r="B995" s="274">
        <v>9</v>
      </c>
      <c r="C995" s="826" t="s">
        <v>421</v>
      </c>
      <c r="D995" s="273" t="s">
        <v>491</v>
      </c>
      <c r="E995" s="768">
        <v>0</v>
      </c>
      <c r="F995" s="768">
        <v>181614678.78</v>
      </c>
      <c r="G995" s="768">
        <v>181614678.78</v>
      </c>
      <c r="H995" s="768">
        <v>54052291.009999998</v>
      </c>
      <c r="I995" s="768">
        <v>127562387.77</v>
      </c>
    </row>
    <row r="996" spans="2:9" x14ac:dyDescent="0.2">
      <c r="B996" s="274">
        <v>9</v>
      </c>
      <c r="C996" s="826" t="s">
        <v>223</v>
      </c>
      <c r="D996" s="273" t="s">
        <v>224</v>
      </c>
      <c r="E996" s="768">
        <v>0</v>
      </c>
      <c r="F996" s="768">
        <v>125345082.34999999</v>
      </c>
      <c r="G996" s="768">
        <v>125345082.34999999</v>
      </c>
      <c r="H996" s="768">
        <v>44843994.009999998</v>
      </c>
      <c r="I996" s="768">
        <v>80501088.340000004</v>
      </c>
    </row>
    <row r="997" spans="2:9" x14ac:dyDescent="0.2">
      <c r="B997" s="274">
        <v>9</v>
      </c>
      <c r="C997" s="826" t="s">
        <v>1861</v>
      </c>
      <c r="D997" s="273" t="s">
        <v>1862</v>
      </c>
      <c r="E997" s="768">
        <v>0</v>
      </c>
      <c r="F997" s="768">
        <v>42429722.75</v>
      </c>
      <c r="G997" s="768">
        <v>42429722.75</v>
      </c>
      <c r="H997" s="768">
        <v>7580797</v>
      </c>
      <c r="I997" s="768">
        <v>34848925.75</v>
      </c>
    </row>
    <row r="998" spans="2:9" x14ac:dyDescent="0.2">
      <c r="B998" s="274">
        <v>9</v>
      </c>
      <c r="C998" s="826" t="s">
        <v>1863</v>
      </c>
      <c r="D998" s="273" t="s">
        <v>1864</v>
      </c>
      <c r="E998" s="768">
        <v>0</v>
      </c>
      <c r="F998" s="768">
        <v>2539873.6800000002</v>
      </c>
      <c r="G998" s="768">
        <v>2539873.6800000002</v>
      </c>
      <c r="H998" s="768">
        <v>0</v>
      </c>
      <c r="I998" s="768">
        <v>2539873.6800000002</v>
      </c>
    </row>
    <row r="999" spans="2:9" x14ac:dyDescent="0.2">
      <c r="B999" s="274">
        <v>9</v>
      </c>
      <c r="C999" s="826" t="s">
        <v>2465</v>
      </c>
      <c r="D999" s="273" t="s">
        <v>2466</v>
      </c>
      <c r="E999" s="768">
        <v>0</v>
      </c>
      <c r="F999" s="768">
        <v>4300000</v>
      </c>
      <c r="G999" s="768">
        <v>4300000</v>
      </c>
      <c r="H999" s="768">
        <v>677500</v>
      </c>
      <c r="I999" s="768">
        <v>3622500</v>
      </c>
    </row>
    <row r="1000" spans="2:9" x14ac:dyDescent="0.2">
      <c r="B1000" s="274">
        <v>9</v>
      </c>
      <c r="C1000" s="826" t="s">
        <v>2467</v>
      </c>
      <c r="D1000" s="273" t="s">
        <v>3178</v>
      </c>
      <c r="E1000" s="768">
        <v>0</v>
      </c>
      <c r="F1000" s="768">
        <v>7000000</v>
      </c>
      <c r="G1000" s="768">
        <v>7000000</v>
      </c>
      <c r="H1000" s="768">
        <v>950000</v>
      </c>
      <c r="I1000" s="768">
        <v>6050000</v>
      </c>
    </row>
    <row r="1001" spans="2:9" x14ac:dyDescent="0.2">
      <c r="B1001" s="274">
        <v>9</v>
      </c>
      <c r="C1001" s="826" t="s">
        <v>490</v>
      </c>
      <c r="D1001" s="273" t="s">
        <v>491</v>
      </c>
      <c r="E1001" s="768">
        <v>10000000</v>
      </c>
      <c r="F1001" s="768">
        <v>-31140132.350000001</v>
      </c>
      <c r="G1001" s="768">
        <v>-21140132.350000001</v>
      </c>
      <c r="H1001" s="768">
        <v>0</v>
      </c>
      <c r="I1001" s="768">
        <v>-21140132.350000001</v>
      </c>
    </row>
    <row r="1003" spans="2:9" s="771" customFormat="1" x14ac:dyDescent="0.2">
      <c r="B1003" s="766">
        <v>9</v>
      </c>
      <c r="C1003" s="824" t="s">
        <v>537</v>
      </c>
      <c r="D1003" s="771" t="s">
        <v>1062</v>
      </c>
      <c r="E1003" s="825">
        <v>2420000000</v>
      </c>
      <c r="F1003" s="825">
        <v>1190491208.4200001</v>
      </c>
      <c r="G1003" s="825">
        <v>3610491208.4200001</v>
      </c>
      <c r="H1003" s="825">
        <v>149979335.62</v>
      </c>
      <c r="I1003" s="825">
        <v>3460511872.8000002</v>
      </c>
    </row>
    <row r="1004" spans="2:9" x14ac:dyDescent="0.2">
      <c r="B1004" s="274">
        <v>9</v>
      </c>
      <c r="C1004" s="826" t="s">
        <v>691</v>
      </c>
      <c r="D1004" s="273" t="s">
        <v>878</v>
      </c>
      <c r="E1004" s="768">
        <v>2420000000</v>
      </c>
      <c r="F1004" s="768">
        <v>1190491208.4200001</v>
      </c>
      <c r="G1004" s="768">
        <v>3610491208.4200001</v>
      </c>
      <c r="H1004" s="768">
        <v>149979335.62</v>
      </c>
      <c r="I1004" s="768">
        <v>3460511872.8000002</v>
      </c>
    </row>
    <row r="1005" spans="2:9" x14ac:dyDescent="0.2">
      <c r="B1005" s="274">
        <v>9</v>
      </c>
      <c r="C1005" s="826" t="s">
        <v>492</v>
      </c>
      <c r="D1005" s="273" t="s">
        <v>493</v>
      </c>
      <c r="E1005" s="768">
        <v>0</v>
      </c>
      <c r="F1005" s="768">
        <v>2746524947.1500001</v>
      </c>
      <c r="G1005" s="768">
        <v>2746524947.1500001</v>
      </c>
      <c r="H1005" s="768">
        <v>149979335.62</v>
      </c>
      <c r="I1005" s="768">
        <v>2596545611.5300002</v>
      </c>
    </row>
    <row r="1006" spans="2:9" x14ac:dyDescent="0.2">
      <c r="B1006" s="274">
        <v>9</v>
      </c>
      <c r="C1006" s="826" t="s">
        <v>422</v>
      </c>
      <c r="D1006" s="273" t="s">
        <v>423</v>
      </c>
      <c r="E1006" s="768">
        <v>0</v>
      </c>
      <c r="F1006" s="768">
        <v>88000000</v>
      </c>
      <c r="G1006" s="768">
        <v>88000000</v>
      </c>
      <c r="H1006" s="768">
        <v>988039.42</v>
      </c>
      <c r="I1006" s="768">
        <v>87011960.579999998</v>
      </c>
    </row>
    <row r="1007" spans="2:9" x14ac:dyDescent="0.2">
      <c r="B1007" s="274">
        <v>9</v>
      </c>
      <c r="C1007" s="826" t="s">
        <v>494</v>
      </c>
      <c r="D1007" s="273" t="s">
        <v>495</v>
      </c>
      <c r="E1007" s="768">
        <v>0</v>
      </c>
      <c r="F1007" s="768">
        <v>801403151.89999998</v>
      </c>
      <c r="G1007" s="768">
        <v>801403151.89999998</v>
      </c>
      <c r="H1007" s="768">
        <v>0</v>
      </c>
      <c r="I1007" s="768">
        <v>801403151.89999998</v>
      </c>
    </row>
    <row r="1008" spans="2:9" x14ac:dyDescent="0.2">
      <c r="B1008" s="274">
        <v>9</v>
      </c>
      <c r="C1008" s="826" t="s">
        <v>1651</v>
      </c>
      <c r="D1008" s="273" t="s">
        <v>1652</v>
      </c>
      <c r="E1008" s="768">
        <v>0</v>
      </c>
      <c r="F1008" s="768">
        <v>1259089117.4000001</v>
      </c>
      <c r="G1008" s="768">
        <v>1259089117.4000001</v>
      </c>
      <c r="H1008" s="768">
        <v>138435428.65000001</v>
      </c>
      <c r="I1008" s="768">
        <v>1120653688.75</v>
      </c>
    </row>
    <row r="1009" spans="2:9" x14ac:dyDescent="0.2">
      <c r="B1009" s="274">
        <v>9</v>
      </c>
      <c r="C1009" s="826" t="s">
        <v>1758</v>
      </c>
      <c r="D1009" s="273" t="s">
        <v>1759</v>
      </c>
      <c r="E1009" s="768">
        <v>0</v>
      </c>
      <c r="F1009" s="768">
        <v>514783427.85000002</v>
      </c>
      <c r="G1009" s="768">
        <v>514783427.85000002</v>
      </c>
      <c r="H1009" s="768">
        <v>9358856</v>
      </c>
      <c r="I1009" s="768">
        <v>505424571.85000002</v>
      </c>
    </row>
    <row r="1010" spans="2:9" x14ac:dyDescent="0.2">
      <c r="B1010" s="274">
        <v>9</v>
      </c>
      <c r="C1010" s="826" t="s">
        <v>2468</v>
      </c>
      <c r="D1010" s="273" t="s">
        <v>2469</v>
      </c>
      <c r="E1010" s="768">
        <v>0</v>
      </c>
      <c r="F1010" s="768">
        <v>30749250</v>
      </c>
      <c r="G1010" s="768">
        <v>30749250</v>
      </c>
      <c r="H1010" s="768">
        <v>1197011.55</v>
      </c>
      <c r="I1010" s="768">
        <v>29552238.449999999</v>
      </c>
    </row>
    <row r="1011" spans="2:9" x14ac:dyDescent="0.2">
      <c r="B1011" s="274">
        <v>9</v>
      </c>
      <c r="C1011" s="826" t="s">
        <v>2470</v>
      </c>
      <c r="D1011" s="273" t="s">
        <v>2471</v>
      </c>
      <c r="E1011" s="768">
        <v>0</v>
      </c>
      <c r="F1011" s="768">
        <v>12500000</v>
      </c>
      <c r="G1011" s="768">
        <v>12500000</v>
      </c>
      <c r="H1011" s="768">
        <v>0</v>
      </c>
      <c r="I1011" s="768">
        <v>12500000</v>
      </c>
    </row>
    <row r="1012" spans="2:9" x14ac:dyDescent="0.2">
      <c r="B1012" s="274">
        <v>9</v>
      </c>
      <c r="C1012" s="826" t="s">
        <v>3767</v>
      </c>
      <c r="D1012" s="273" t="s">
        <v>3768</v>
      </c>
      <c r="E1012" s="768">
        <v>0</v>
      </c>
      <c r="F1012" s="768">
        <v>40000000</v>
      </c>
      <c r="G1012" s="768">
        <v>40000000</v>
      </c>
      <c r="H1012" s="768">
        <v>0</v>
      </c>
      <c r="I1012" s="768">
        <v>40000000</v>
      </c>
    </row>
    <row r="1013" spans="2:9" x14ac:dyDescent="0.2">
      <c r="B1013" s="274">
        <v>9</v>
      </c>
      <c r="C1013" s="826" t="s">
        <v>496</v>
      </c>
      <c r="D1013" s="273" t="s">
        <v>493</v>
      </c>
      <c r="E1013" s="768">
        <v>2420000000</v>
      </c>
      <c r="F1013" s="768">
        <v>-1556033738.73</v>
      </c>
      <c r="G1013" s="768">
        <v>863966261.26999998</v>
      </c>
      <c r="H1013" s="768">
        <v>0</v>
      </c>
      <c r="I1013" s="768">
        <v>863966261.26999998</v>
      </c>
    </row>
    <row r="1015" spans="2:9" s="771" customFormat="1" x14ac:dyDescent="0.2">
      <c r="B1015" s="766">
        <v>9</v>
      </c>
      <c r="C1015" s="824" t="s">
        <v>326</v>
      </c>
      <c r="D1015" s="771" t="s">
        <v>765</v>
      </c>
      <c r="E1015" s="825">
        <v>3500000</v>
      </c>
      <c r="F1015" s="825">
        <v>48061823.329999998</v>
      </c>
      <c r="G1015" s="825">
        <v>51561823.329999998</v>
      </c>
      <c r="H1015" s="825">
        <v>41777995.43</v>
      </c>
      <c r="I1015" s="825">
        <v>9783827.9000000004</v>
      </c>
    </row>
    <row r="1016" spans="2:9" x14ac:dyDescent="0.2">
      <c r="B1016" s="274">
        <v>9</v>
      </c>
      <c r="C1016" s="826" t="s">
        <v>692</v>
      </c>
      <c r="D1016" s="273" t="s">
        <v>878</v>
      </c>
      <c r="E1016" s="768">
        <v>3500000</v>
      </c>
      <c r="F1016" s="768">
        <v>48061823.329999998</v>
      </c>
      <c r="G1016" s="768">
        <v>51561823.329999998</v>
      </c>
      <c r="H1016" s="768">
        <v>41777995.43</v>
      </c>
      <c r="I1016" s="768">
        <v>9783827.9000000004</v>
      </c>
    </row>
    <row r="1017" spans="2:9" x14ac:dyDescent="0.2">
      <c r="B1017" s="274">
        <v>9</v>
      </c>
      <c r="C1017" s="826" t="s">
        <v>820</v>
      </c>
      <c r="D1017" s="273" t="s">
        <v>821</v>
      </c>
      <c r="E1017" s="768">
        <v>0</v>
      </c>
      <c r="F1017" s="768">
        <v>328465538.60000002</v>
      </c>
      <c r="G1017" s="768">
        <v>328465538.60000002</v>
      </c>
      <c r="H1017" s="768">
        <v>41777995.43</v>
      </c>
      <c r="I1017" s="768">
        <v>286687543.17000002</v>
      </c>
    </row>
    <row r="1018" spans="2:9" x14ac:dyDescent="0.2">
      <c r="B1018" s="274">
        <v>9</v>
      </c>
      <c r="C1018" s="826" t="s">
        <v>225</v>
      </c>
      <c r="D1018" s="273" t="s">
        <v>226</v>
      </c>
      <c r="E1018" s="768">
        <v>0</v>
      </c>
      <c r="F1018" s="768">
        <v>326727.95</v>
      </c>
      <c r="G1018" s="768">
        <v>326727.95</v>
      </c>
      <c r="H1018" s="768">
        <v>0</v>
      </c>
      <c r="I1018" s="768">
        <v>326727.95</v>
      </c>
    </row>
    <row r="1019" spans="2:9" x14ac:dyDescent="0.2">
      <c r="B1019" s="274">
        <v>9</v>
      </c>
      <c r="C1019" s="826" t="s">
        <v>227</v>
      </c>
      <c r="D1019" s="273" t="s">
        <v>228</v>
      </c>
      <c r="E1019" s="768">
        <v>0</v>
      </c>
      <c r="F1019" s="768">
        <v>138300.45000000001</v>
      </c>
      <c r="G1019" s="768">
        <v>138300.45000000001</v>
      </c>
      <c r="H1019" s="768">
        <v>0</v>
      </c>
      <c r="I1019" s="768">
        <v>138300.45000000001</v>
      </c>
    </row>
    <row r="1020" spans="2:9" x14ac:dyDescent="0.2">
      <c r="B1020" s="274">
        <v>9</v>
      </c>
      <c r="C1020" s="826" t="s">
        <v>229</v>
      </c>
      <c r="D1020" s="273" t="s">
        <v>230</v>
      </c>
      <c r="E1020" s="768">
        <v>0</v>
      </c>
      <c r="F1020" s="768">
        <v>328000510.19999999</v>
      </c>
      <c r="G1020" s="768">
        <v>328000510.19999999</v>
      </c>
      <c r="H1020" s="768">
        <v>41777995.43</v>
      </c>
      <c r="I1020" s="768">
        <v>286222514.76999998</v>
      </c>
    </row>
    <row r="1021" spans="2:9" x14ac:dyDescent="0.2">
      <c r="B1021" s="274">
        <v>9</v>
      </c>
      <c r="C1021" s="826" t="s">
        <v>822</v>
      </c>
      <c r="D1021" s="273" t="s">
        <v>821</v>
      </c>
      <c r="E1021" s="768">
        <v>3500000</v>
      </c>
      <c r="F1021" s="768">
        <v>-280403715.26999998</v>
      </c>
      <c r="G1021" s="768">
        <v>-276903715.26999998</v>
      </c>
      <c r="H1021" s="768">
        <v>0</v>
      </c>
      <c r="I1021" s="768">
        <v>-276903715.26999998</v>
      </c>
    </row>
    <row r="1023" spans="2:9" s="771" customFormat="1" x14ac:dyDescent="0.2">
      <c r="B1023" s="766">
        <v>9</v>
      </c>
      <c r="C1023" s="824" t="s">
        <v>684</v>
      </c>
      <c r="D1023" s="771" t="s">
        <v>799</v>
      </c>
      <c r="E1023" s="825">
        <v>5000000</v>
      </c>
      <c r="F1023" s="825">
        <v>-1965451</v>
      </c>
      <c r="G1023" s="825">
        <v>3034549</v>
      </c>
      <c r="H1023" s="825">
        <v>0</v>
      </c>
      <c r="I1023" s="825">
        <v>3034549</v>
      </c>
    </row>
    <row r="1024" spans="2:9" x14ac:dyDescent="0.2">
      <c r="B1024" s="274">
        <v>9</v>
      </c>
      <c r="C1024" s="826" t="s">
        <v>231</v>
      </c>
      <c r="D1024" s="273" t="s">
        <v>232</v>
      </c>
      <c r="E1024" s="768">
        <v>5000000</v>
      </c>
      <c r="F1024" s="768">
        <v>-1965451</v>
      </c>
      <c r="G1024" s="768">
        <v>3034549</v>
      </c>
      <c r="H1024" s="768">
        <v>0</v>
      </c>
      <c r="I1024" s="768">
        <v>3034549</v>
      </c>
    </row>
    <row r="1025" spans="2:9" x14ac:dyDescent="0.2">
      <c r="B1025" s="274">
        <v>9</v>
      </c>
      <c r="C1025" s="826" t="s">
        <v>233</v>
      </c>
      <c r="D1025" s="273" t="s">
        <v>234</v>
      </c>
      <c r="E1025" s="768">
        <v>0</v>
      </c>
      <c r="F1025" s="768">
        <v>3034549</v>
      </c>
      <c r="G1025" s="768">
        <v>3034549</v>
      </c>
      <c r="H1025" s="768">
        <v>0</v>
      </c>
      <c r="I1025" s="768">
        <v>3034549</v>
      </c>
    </row>
    <row r="1026" spans="2:9" x14ac:dyDescent="0.2">
      <c r="B1026" s="274">
        <v>9</v>
      </c>
      <c r="C1026" s="826" t="s">
        <v>1760</v>
      </c>
      <c r="D1026" s="273" t="s">
        <v>1761</v>
      </c>
      <c r="E1026" s="768">
        <v>0</v>
      </c>
      <c r="F1026" s="768">
        <v>3034549</v>
      </c>
      <c r="G1026" s="768">
        <v>3034549</v>
      </c>
      <c r="H1026" s="768">
        <v>0</v>
      </c>
      <c r="I1026" s="768">
        <v>3034549</v>
      </c>
    </row>
    <row r="1027" spans="2:9" x14ac:dyDescent="0.2">
      <c r="B1027" s="274">
        <v>9</v>
      </c>
      <c r="C1027" s="826" t="s">
        <v>235</v>
      </c>
      <c r="D1027" s="273" t="s">
        <v>236</v>
      </c>
      <c r="E1027" s="768">
        <v>5000000</v>
      </c>
      <c r="F1027" s="768">
        <v>-5000000</v>
      </c>
      <c r="G1027" s="768">
        <v>0</v>
      </c>
      <c r="H1027" s="768">
        <v>0</v>
      </c>
      <c r="I1027" s="768">
        <v>0</v>
      </c>
    </row>
    <row r="1029" spans="2:9" x14ac:dyDescent="0.2">
      <c r="B1029" s="766">
        <v>10</v>
      </c>
      <c r="C1029" s="824"/>
      <c r="D1029" s="771" t="s">
        <v>1774</v>
      </c>
      <c r="E1029" s="825">
        <v>0</v>
      </c>
      <c r="F1029" s="825">
        <v>12029947681.49</v>
      </c>
      <c r="G1029" s="825">
        <v>12029947681.49</v>
      </c>
      <c r="H1029" s="825">
        <v>2322384367.96</v>
      </c>
      <c r="I1029" s="825">
        <v>9707563313.5300007</v>
      </c>
    </row>
    <row r="1030" spans="2:9" x14ac:dyDescent="0.2">
      <c r="B1030" s="766"/>
      <c r="C1030" s="824"/>
      <c r="D1030" s="771"/>
      <c r="E1030" s="825"/>
      <c r="F1030" s="825"/>
      <c r="G1030" s="825"/>
      <c r="H1030" s="825"/>
      <c r="I1030" s="825"/>
    </row>
    <row r="1031" spans="2:9" s="771" customFormat="1" x14ac:dyDescent="0.2">
      <c r="B1031" s="766">
        <v>10</v>
      </c>
      <c r="C1031" s="824" t="s">
        <v>946</v>
      </c>
      <c r="D1031" s="771" t="s">
        <v>557</v>
      </c>
      <c r="E1031" s="825">
        <v>0</v>
      </c>
      <c r="F1031" s="825">
        <v>5487161.29</v>
      </c>
      <c r="G1031" s="825">
        <v>5487161.29</v>
      </c>
      <c r="H1031" s="825">
        <v>0</v>
      </c>
      <c r="I1031" s="825">
        <v>5487161.29</v>
      </c>
    </row>
    <row r="1032" spans="2:9" x14ac:dyDescent="0.2">
      <c r="B1032" s="274">
        <v>10</v>
      </c>
      <c r="C1032" s="826" t="s">
        <v>687</v>
      </c>
      <c r="D1032" s="273" t="s">
        <v>878</v>
      </c>
      <c r="E1032" s="768">
        <v>0</v>
      </c>
      <c r="F1032" s="768">
        <v>5487161.29</v>
      </c>
      <c r="G1032" s="768">
        <v>5487161.29</v>
      </c>
      <c r="H1032" s="768">
        <v>0</v>
      </c>
      <c r="I1032" s="768">
        <v>5487161.29</v>
      </c>
    </row>
    <row r="1033" spans="2:9" x14ac:dyDescent="0.2">
      <c r="B1033" s="274">
        <v>10</v>
      </c>
      <c r="C1033" s="826" t="s">
        <v>3179</v>
      </c>
      <c r="D1033" s="273" t="s">
        <v>3180</v>
      </c>
      <c r="E1033" s="768">
        <v>0</v>
      </c>
      <c r="F1033" s="768">
        <v>-349851.1</v>
      </c>
      <c r="G1033" s="768">
        <v>-349851.1</v>
      </c>
      <c r="H1033" s="768">
        <v>0</v>
      </c>
      <c r="I1033" s="768">
        <v>-349851.1</v>
      </c>
    </row>
    <row r="1034" spans="2:9" x14ac:dyDescent="0.2">
      <c r="B1034" s="274">
        <v>10</v>
      </c>
      <c r="C1034" s="826" t="s">
        <v>3181</v>
      </c>
      <c r="D1034" s="273" t="s">
        <v>3180</v>
      </c>
      <c r="E1034" s="768">
        <v>0</v>
      </c>
      <c r="F1034" s="768">
        <v>5837012.3899999997</v>
      </c>
      <c r="G1034" s="768">
        <v>5837012.3899999997</v>
      </c>
      <c r="H1034" s="768">
        <v>0</v>
      </c>
      <c r="I1034" s="768">
        <v>5837012.3899999997</v>
      </c>
    </row>
    <row r="1035" spans="2:9" x14ac:dyDescent="0.2">
      <c r="B1035" s="274">
        <v>10</v>
      </c>
      <c r="C1035" s="826" t="s">
        <v>3182</v>
      </c>
      <c r="D1035" s="273" t="s">
        <v>3183</v>
      </c>
      <c r="E1035" s="768">
        <v>0</v>
      </c>
      <c r="F1035" s="768">
        <v>817588.45</v>
      </c>
      <c r="G1035" s="768">
        <v>817588.45</v>
      </c>
      <c r="H1035" s="768">
        <v>0</v>
      </c>
      <c r="I1035" s="768">
        <v>817588.45</v>
      </c>
    </row>
    <row r="1036" spans="2:9" x14ac:dyDescent="0.2">
      <c r="B1036" s="274">
        <v>10</v>
      </c>
      <c r="C1036" s="826" t="s">
        <v>3184</v>
      </c>
      <c r="D1036" s="273" t="s">
        <v>3185</v>
      </c>
      <c r="E1036" s="768">
        <v>0</v>
      </c>
      <c r="F1036" s="768">
        <v>377262.65</v>
      </c>
      <c r="G1036" s="768">
        <v>377262.65</v>
      </c>
      <c r="H1036" s="768">
        <v>0</v>
      </c>
      <c r="I1036" s="768">
        <v>377262.65</v>
      </c>
    </row>
    <row r="1037" spans="2:9" x14ac:dyDescent="0.2">
      <c r="B1037" s="274">
        <v>10</v>
      </c>
      <c r="C1037" s="826" t="s">
        <v>3769</v>
      </c>
      <c r="D1037" s="273" t="s">
        <v>3770</v>
      </c>
      <c r="E1037" s="768">
        <v>0</v>
      </c>
      <c r="F1037" s="768">
        <v>4642161.29</v>
      </c>
      <c r="G1037" s="768">
        <v>4642161.29</v>
      </c>
      <c r="H1037" s="768">
        <v>0</v>
      </c>
      <c r="I1037" s="768">
        <v>4642161.29</v>
      </c>
    </row>
    <row r="1039" spans="2:9" s="771" customFormat="1" x14ac:dyDescent="0.2">
      <c r="B1039" s="766">
        <v>10</v>
      </c>
      <c r="C1039" s="824" t="s">
        <v>404</v>
      </c>
      <c r="D1039" s="771" t="s">
        <v>1262</v>
      </c>
      <c r="E1039" s="825">
        <v>0</v>
      </c>
      <c r="F1039" s="825">
        <v>2106736233</v>
      </c>
      <c r="G1039" s="825">
        <v>2106736233</v>
      </c>
      <c r="H1039" s="825">
        <v>456332802.5</v>
      </c>
      <c r="I1039" s="825">
        <v>1650403430.5</v>
      </c>
    </row>
    <row r="1040" spans="2:9" x14ac:dyDescent="0.2">
      <c r="B1040" s="274">
        <v>10</v>
      </c>
      <c r="C1040" s="826" t="s">
        <v>688</v>
      </c>
      <c r="D1040" s="273" t="s">
        <v>878</v>
      </c>
      <c r="E1040" s="768">
        <v>0</v>
      </c>
      <c r="F1040" s="768">
        <v>2106736233</v>
      </c>
      <c r="G1040" s="768">
        <v>2106736233</v>
      </c>
      <c r="H1040" s="768">
        <v>456332802.5</v>
      </c>
      <c r="I1040" s="768">
        <v>1650403430.5</v>
      </c>
    </row>
    <row r="1041" spans="2:9" x14ac:dyDescent="0.2">
      <c r="B1041" s="274">
        <v>10</v>
      </c>
      <c r="C1041" s="826" t="s">
        <v>2472</v>
      </c>
      <c r="D1041" s="273" t="s">
        <v>2473</v>
      </c>
      <c r="E1041" s="768">
        <v>0</v>
      </c>
      <c r="F1041" s="768">
        <v>-19552240.050000001</v>
      </c>
      <c r="G1041" s="768">
        <v>-19552240.050000001</v>
      </c>
      <c r="H1041" s="768">
        <v>0</v>
      </c>
      <c r="I1041" s="768">
        <v>-19552240.050000001</v>
      </c>
    </row>
    <row r="1042" spans="2:9" x14ac:dyDescent="0.2">
      <c r="B1042" s="274">
        <v>10</v>
      </c>
      <c r="C1042" s="826" t="s">
        <v>2474</v>
      </c>
      <c r="D1042" s="273" t="s">
        <v>2473</v>
      </c>
      <c r="E1042" s="768">
        <v>0</v>
      </c>
      <c r="F1042" s="768">
        <v>2126288473.05</v>
      </c>
      <c r="G1042" s="768">
        <v>2126288473.05</v>
      </c>
      <c r="H1042" s="768">
        <v>456332802.5</v>
      </c>
      <c r="I1042" s="768">
        <v>1669955670.55</v>
      </c>
    </row>
    <row r="1043" spans="2:9" x14ac:dyDescent="0.2">
      <c r="B1043" s="274">
        <v>10</v>
      </c>
      <c r="C1043" s="826" t="s">
        <v>3771</v>
      </c>
      <c r="D1043" s="273" t="s">
        <v>3772</v>
      </c>
      <c r="E1043" s="768">
        <v>0</v>
      </c>
      <c r="F1043" s="768">
        <v>205512270</v>
      </c>
      <c r="G1043" s="768">
        <v>205512270</v>
      </c>
      <c r="H1043" s="768">
        <v>0</v>
      </c>
      <c r="I1043" s="768">
        <v>205512270</v>
      </c>
    </row>
    <row r="1044" spans="2:9" x14ac:dyDescent="0.2">
      <c r="B1044" s="274">
        <v>10</v>
      </c>
      <c r="C1044" s="826" t="s">
        <v>2475</v>
      </c>
      <c r="D1044" s="273" t="s">
        <v>2476</v>
      </c>
      <c r="E1044" s="768">
        <v>0</v>
      </c>
      <c r="F1044" s="768">
        <v>602179501.36000001</v>
      </c>
      <c r="G1044" s="768">
        <v>602179501.36000001</v>
      </c>
      <c r="H1044" s="768">
        <v>23247271.850000001</v>
      </c>
      <c r="I1044" s="768">
        <v>578932229.50999999</v>
      </c>
    </row>
    <row r="1045" spans="2:9" x14ac:dyDescent="0.2">
      <c r="B1045" s="274">
        <v>10</v>
      </c>
      <c r="C1045" s="826" t="s">
        <v>2477</v>
      </c>
      <c r="D1045" s="273" t="s">
        <v>2478</v>
      </c>
      <c r="E1045" s="768">
        <v>0</v>
      </c>
      <c r="F1045" s="768">
        <v>88018999.019999996</v>
      </c>
      <c r="G1045" s="768">
        <v>88018999.019999996</v>
      </c>
      <c r="H1045" s="768">
        <v>37559930.850000001</v>
      </c>
      <c r="I1045" s="768">
        <v>50459068.170000002</v>
      </c>
    </row>
    <row r="1046" spans="2:9" x14ac:dyDescent="0.2">
      <c r="B1046" s="274">
        <v>10</v>
      </c>
      <c r="C1046" s="826" t="s">
        <v>3186</v>
      </c>
      <c r="D1046" s="273" t="s">
        <v>3187</v>
      </c>
      <c r="E1046" s="768">
        <v>0</v>
      </c>
      <c r="F1046" s="768">
        <v>351333564</v>
      </c>
      <c r="G1046" s="768">
        <v>351333564</v>
      </c>
      <c r="H1046" s="768">
        <v>287616022</v>
      </c>
      <c r="I1046" s="768">
        <v>63717542</v>
      </c>
    </row>
    <row r="1047" spans="2:9" x14ac:dyDescent="0.2">
      <c r="B1047" s="274">
        <v>10</v>
      </c>
      <c r="C1047" s="826" t="s">
        <v>3188</v>
      </c>
      <c r="D1047" s="273" t="s">
        <v>3189</v>
      </c>
      <c r="E1047" s="768">
        <v>0</v>
      </c>
      <c r="F1047" s="768">
        <v>23184687.260000002</v>
      </c>
      <c r="G1047" s="768">
        <v>23184687.260000002</v>
      </c>
      <c r="H1047" s="768">
        <v>15400141.800000001</v>
      </c>
      <c r="I1047" s="768">
        <v>7784545.46</v>
      </c>
    </row>
    <row r="1048" spans="2:9" x14ac:dyDescent="0.2">
      <c r="B1048" s="274">
        <v>10</v>
      </c>
      <c r="C1048" s="826" t="s">
        <v>2479</v>
      </c>
      <c r="D1048" s="273" t="s">
        <v>2480</v>
      </c>
      <c r="E1048" s="768">
        <v>0</v>
      </c>
      <c r="F1048" s="768">
        <v>293375676.41000003</v>
      </c>
      <c r="G1048" s="768">
        <v>293375676.41000003</v>
      </c>
      <c r="H1048" s="768">
        <v>92509436</v>
      </c>
      <c r="I1048" s="768">
        <v>200866240.41</v>
      </c>
    </row>
    <row r="1049" spans="2:9" x14ac:dyDescent="0.2">
      <c r="B1049" s="274">
        <v>10</v>
      </c>
      <c r="C1049" s="826" t="s">
        <v>2481</v>
      </c>
      <c r="D1049" s="273" t="s">
        <v>2482</v>
      </c>
      <c r="E1049" s="768">
        <v>0</v>
      </c>
      <c r="F1049" s="768">
        <v>83775</v>
      </c>
      <c r="G1049" s="768">
        <v>83775</v>
      </c>
      <c r="H1049" s="768">
        <v>0</v>
      </c>
      <c r="I1049" s="768">
        <v>83775</v>
      </c>
    </row>
    <row r="1050" spans="2:9" x14ac:dyDescent="0.2">
      <c r="B1050" s="274">
        <v>10</v>
      </c>
      <c r="C1050" s="826" t="s">
        <v>2483</v>
      </c>
      <c r="D1050" s="273" t="s">
        <v>2484</v>
      </c>
      <c r="E1050" s="768">
        <v>0</v>
      </c>
      <c r="F1050" s="768">
        <v>562600000</v>
      </c>
      <c r="G1050" s="768">
        <v>562600000</v>
      </c>
      <c r="H1050" s="768">
        <v>0</v>
      </c>
      <c r="I1050" s="768">
        <v>562600000</v>
      </c>
    </row>
    <row r="1052" spans="2:9" s="771" customFormat="1" x14ac:dyDescent="0.2">
      <c r="B1052" s="766">
        <v>10</v>
      </c>
      <c r="C1052" s="824" t="s">
        <v>537</v>
      </c>
      <c r="D1052" s="771" t="s">
        <v>1062</v>
      </c>
      <c r="E1052" s="825">
        <v>0</v>
      </c>
      <c r="F1052" s="825">
        <v>109704480</v>
      </c>
      <c r="G1052" s="825">
        <v>109704480</v>
      </c>
      <c r="H1052" s="825">
        <v>52275836.009999998</v>
      </c>
      <c r="I1052" s="825">
        <v>57428643.990000002</v>
      </c>
    </row>
    <row r="1053" spans="2:9" x14ac:dyDescent="0.2">
      <c r="B1053" s="274">
        <v>10</v>
      </c>
      <c r="C1053" s="826" t="s">
        <v>691</v>
      </c>
      <c r="D1053" s="273" t="s">
        <v>878</v>
      </c>
      <c r="E1053" s="768">
        <v>0</v>
      </c>
      <c r="F1053" s="768">
        <v>109704480</v>
      </c>
      <c r="G1053" s="768">
        <v>109704480</v>
      </c>
      <c r="H1053" s="768">
        <v>52275836.009999998</v>
      </c>
      <c r="I1053" s="768">
        <v>57428643.990000002</v>
      </c>
    </row>
    <row r="1054" spans="2:9" x14ac:dyDescent="0.2">
      <c r="B1054" s="274">
        <v>10</v>
      </c>
      <c r="C1054" s="826" t="s">
        <v>2485</v>
      </c>
      <c r="D1054" s="273" t="s">
        <v>1866</v>
      </c>
      <c r="E1054" s="768">
        <v>0</v>
      </c>
      <c r="F1054" s="768">
        <v>-42218894.079999998</v>
      </c>
      <c r="G1054" s="768">
        <v>-42218894.079999998</v>
      </c>
      <c r="H1054" s="768">
        <v>0</v>
      </c>
      <c r="I1054" s="768">
        <v>-42218894.079999998</v>
      </c>
    </row>
    <row r="1055" spans="2:9" x14ac:dyDescent="0.2">
      <c r="B1055" s="274">
        <v>10</v>
      </c>
      <c r="C1055" s="826" t="s">
        <v>1865</v>
      </c>
      <c r="D1055" s="273" t="s">
        <v>1866</v>
      </c>
      <c r="E1055" s="768">
        <v>0</v>
      </c>
      <c r="F1055" s="768">
        <v>151923374.08000001</v>
      </c>
      <c r="G1055" s="768">
        <v>151923374.08000001</v>
      </c>
      <c r="H1055" s="768">
        <v>52275836.009999998</v>
      </c>
      <c r="I1055" s="768">
        <v>99647538.069999993</v>
      </c>
    </row>
    <row r="1056" spans="2:9" x14ac:dyDescent="0.2">
      <c r="B1056" s="274">
        <v>10</v>
      </c>
      <c r="C1056" s="826" t="s">
        <v>2486</v>
      </c>
      <c r="D1056" s="273" t="s">
        <v>2487</v>
      </c>
      <c r="E1056" s="768">
        <v>0</v>
      </c>
      <c r="F1056" s="768">
        <v>151923374.08000001</v>
      </c>
      <c r="G1056" s="768">
        <v>151923374.08000001</v>
      </c>
      <c r="H1056" s="768">
        <v>52275836.009999998</v>
      </c>
      <c r="I1056" s="768">
        <v>99647538.069999993</v>
      </c>
    </row>
    <row r="1058" spans="2:9" s="771" customFormat="1" x14ac:dyDescent="0.2">
      <c r="B1058" s="766">
        <v>10</v>
      </c>
      <c r="C1058" s="824" t="s">
        <v>326</v>
      </c>
      <c r="D1058" s="771" t="s">
        <v>765</v>
      </c>
      <c r="E1058" s="825">
        <v>0</v>
      </c>
      <c r="F1058" s="825">
        <v>503085350.19999999</v>
      </c>
      <c r="G1058" s="825">
        <v>503085350.19999999</v>
      </c>
      <c r="H1058" s="825">
        <v>27296129.600000001</v>
      </c>
      <c r="I1058" s="825">
        <v>475789220.60000002</v>
      </c>
    </row>
    <row r="1059" spans="2:9" x14ac:dyDescent="0.2">
      <c r="B1059" s="274">
        <v>10</v>
      </c>
      <c r="C1059" s="826" t="s">
        <v>692</v>
      </c>
      <c r="D1059" s="273" t="s">
        <v>878</v>
      </c>
      <c r="E1059" s="768">
        <v>0</v>
      </c>
      <c r="F1059" s="768">
        <v>503085350.19999999</v>
      </c>
      <c r="G1059" s="768">
        <v>503085350.19999999</v>
      </c>
      <c r="H1059" s="768">
        <v>27296129.600000001</v>
      </c>
      <c r="I1059" s="768">
        <v>475789220.60000002</v>
      </c>
    </row>
    <row r="1060" spans="2:9" x14ac:dyDescent="0.2">
      <c r="B1060" s="274">
        <v>10</v>
      </c>
      <c r="C1060" s="826" t="s">
        <v>2488</v>
      </c>
      <c r="D1060" s="273" t="s">
        <v>2489</v>
      </c>
      <c r="E1060" s="768">
        <v>0</v>
      </c>
      <c r="F1060" s="768">
        <v>-5606917.6200000001</v>
      </c>
      <c r="G1060" s="768">
        <v>-5606917.6200000001</v>
      </c>
      <c r="H1060" s="768">
        <v>0</v>
      </c>
      <c r="I1060" s="768">
        <v>-5606917.6200000001</v>
      </c>
    </row>
    <row r="1061" spans="2:9" x14ac:dyDescent="0.2">
      <c r="B1061" s="274">
        <v>10</v>
      </c>
      <c r="C1061" s="826" t="s">
        <v>2490</v>
      </c>
      <c r="D1061" s="273" t="s">
        <v>2489</v>
      </c>
      <c r="E1061" s="768">
        <v>0</v>
      </c>
      <c r="F1061" s="768">
        <v>508692267.81999999</v>
      </c>
      <c r="G1061" s="768">
        <v>508692267.81999999</v>
      </c>
      <c r="H1061" s="768">
        <v>27296129.600000001</v>
      </c>
      <c r="I1061" s="768">
        <v>481396138.22000003</v>
      </c>
    </row>
    <row r="1062" spans="2:9" x14ac:dyDescent="0.2">
      <c r="B1062" s="274">
        <v>10</v>
      </c>
      <c r="C1062" s="826" t="s">
        <v>3190</v>
      </c>
      <c r="D1062" s="273" t="s">
        <v>3191</v>
      </c>
      <c r="E1062" s="768">
        <v>0</v>
      </c>
      <c r="F1062" s="768">
        <v>91060000</v>
      </c>
      <c r="G1062" s="768">
        <v>91060000</v>
      </c>
      <c r="H1062" s="768">
        <v>0</v>
      </c>
      <c r="I1062" s="768">
        <v>91060000</v>
      </c>
    </row>
    <row r="1063" spans="2:9" x14ac:dyDescent="0.2">
      <c r="B1063" s="274">
        <v>10</v>
      </c>
      <c r="C1063" s="826" t="s">
        <v>3192</v>
      </c>
      <c r="D1063" s="273" t="s">
        <v>3193</v>
      </c>
      <c r="E1063" s="768">
        <v>0</v>
      </c>
      <c r="F1063" s="768">
        <v>390098830.19999999</v>
      </c>
      <c r="G1063" s="768">
        <v>390098830.19999999</v>
      </c>
      <c r="H1063" s="768">
        <v>0</v>
      </c>
      <c r="I1063" s="768">
        <v>390098830.19999999</v>
      </c>
    </row>
    <row r="1064" spans="2:9" x14ac:dyDescent="0.2">
      <c r="B1064" s="274">
        <v>10</v>
      </c>
      <c r="C1064" s="826" t="s">
        <v>2491</v>
      </c>
      <c r="D1064" s="273" t="s">
        <v>2492</v>
      </c>
      <c r="E1064" s="768">
        <v>0</v>
      </c>
      <c r="F1064" s="768">
        <v>27533437.620000001</v>
      </c>
      <c r="G1064" s="768">
        <v>27533437.620000001</v>
      </c>
      <c r="H1064" s="768">
        <v>27296129.600000001</v>
      </c>
      <c r="I1064" s="768">
        <v>237308.02</v>
      </c>
    </row>
    <row r="1066" spans="2:9" s="771" customFormat="1" x14ac:dyDescent="0.2">
      <c r="B1066" s="766">
        <v>10</v>
      </c>
      <c r="C1066" s="824" t="s">
        <v>684</v>
      </c>
      <c r="D1066" s="771" t="s">
        <v>799</v>
      </c>
      <c r="E1066" s="825">
        <v>0</v>
      </c>
      <c r="F1066" s="825">
        <v>9304934457</v>
      </c>
      <c r="G1066" s="825">
        <v>9304934457</v>
      </c>
      <c r="H1066" s="825">
        <v>1786479599.8499999</v>
      </c>
      <c r="I1066" s="825">
        <v>7518454857.1499996</v>
      </c>
    </row>
    <row r="1067" spans="2:9" x14ac:dyDescent="0.2">
      <c r="B1067" s="274">
        <v>10</v>
      </c>
      <c r="C1067" s="826" t="s">
        <v>231</v>
      </c>
      <c r="D1067" s="273" t="s">
        <v>232</v>
      </c>
      <c r="E1067" s="768">
        <v>0</v>
      </c>
      <c r="F1067" s="768">
        <v>9304934457</v>
      </c>
      <c r="G1067" s="768">
        <v>9304934457</v>
      </c>
      <c r="H1067" s="768">
        <v>1786479599.8499999</v>
      </c>
      <c r="I1067" s="768">
        <v>7518454857.1499996</v>
      </c>
    </row>
    <row r="1068" spans="2:9" x14ac:dyDescent="0.2">
      <c r="B1068" s="274">
        <v>10</v>
      </c>
      <c r="C1068" s="826" t="s">
        <v>2493</v>
      </c>
      <c r="D1068" s="273" t="s">
        <v>2494</v>
      </c>
      <c r="E1068" s="768">
        <v>0</v>
      </c>
      <c r="F1068" s="768">
        <v>-2207949138.71</v>
      </c>
      <c r="G1068" s="768">
        <v>-2207949138.71</v>
      </c>
      <c r="H1068" s="768">
        <v>0</v>
      </c>
      <c r="I1068" s="768">
        <v>-2207949138.71</v>
      </c>
    </row>
    <row r="1069" spans="2:9" x14ac:dyDescent="0.2">
      <c r="B1069" s="274">
        <v>10</v>
      </c>
      <c r="C1069" s="826" t="s">
        <v>2495</v>
      </c>
      <c r="D1069" s="273" t="s">
        <v>2494</v>
      </c>
      <c r="E1069" s="768">
        <v>0</v>
      </c>
      <c r="F1069" s="768">
        <v>11512883595.709999</v>
      </c>
      <c r="G1069" s="768">
        <v>11512883595.709999</v>
      </c>
      <c r="H1069" s="768">
        <v>1786479599.8499999</v>
      </c>
      <c r="I1069" s="768">
        <v>9726403995.8600006</v>
      </c>
    </row>
    <row r="1070" spans="2:9" x14ac:dyDescent="0.2">
      <c r="B1070" s="274">
        <v>10</v>
      </c>
      <c r="C1070" s="826" t="s">
        <v>2496</v>
      </c>
      <c r="D1070" s="273" t="s">
        <v>2497</v>
      </c>
      <c r="E1070" s="768">
        <v>0</v>
      </c>
      <c r="F1070" s="768">
        <v>237196300.63</v>
      </c>
      <c r="G1070" s="768">
        <v>237196300.63</v>
      </c>
      <c r="H1070" s="768">
        <v>150297987.25</v>
      </c>
      <c r="I1070" s="768">
        <v>86898313.379999995</v>
      </c>
    </row>
    <row r="1071" spans="2:9" x14ac:dyDescent="0.2">
      <c r="B1071" s="274">
        <v>10</v>
      </c>
      <c r="C1071" s="826" t="s">
        <v>2498</v>
      </c>
      <c r="D1071" s="273" t="s">
        <v>2499</v>
      </c>
      <c r="E1071" s="768">
        <v>0</v>
      </c>
      <c r="F1071" s="768">
        <v>935192376.14999998</v>
      </c>
      <c r="G1071" s="768">
        <v>935192376.14999998</v>
      </c>
      <c r="H1071" s="768">
        <v>0</v>
      </c>
      <c r="I1071" s="768">
        <v>935192376.14999998</v>
      </c>
    </row>
    <row r="1072" spans="2:9" x14ac:dyDescent="0.2">
      <c r="B1072" s="274">
        <v>10</v>
      </c>
      <c r="C1072" s="826" t="s">
        <v>2500</v>
      </c>
      <c r="D1072" s="273" t="s">
        <v>2501</v>
      </c>
      <c r="E1072" s="768">
        <v>0</v>
      </c>
      <c r="F1072" s="768">
        <v>76296575.859999999</v>
      </c>
      <c r="G1072" s="768">
        <v>76296575.859999999</v>
      </c>
      <c r="H1072" s="768">
        <v>63349769.200000003</v>
      </c>
      <c r="I1072" s="768">
        <v>12946806.66</v>
      </c>
    </row>
    <row r="1073" spans="2:9" x14ac:dyDescent="0.2">
      <c r="B1073" s="274">
        <v>10</v>
      </c>
      <c r="C1073" s="826" t="s">
        <v>2502</v>
      </c>
      <c r="D1073" s="273" t="s">
        <v>2503</v>
      </c>
      <c r="E1073" s="768">
        <v>0</v>
      </c>
      <c r="F1073" s="768">
        <v>972178503.29999995</v>
      </c>
      <c r="G1073" s="768">
        <v>972178503.29999995</v>
      </c>
      <c r="H1073" s="768">
        <v>0</v>
      </c>
      <c r="I1073" s="768">
        <v>972178503.29999995</v>
      </c>
    </row>
    <row r="1074" spans="2:9" x14ac:dyDescent="0.2">
      <c r="B1074" s="274">
        <v>10</v>
      </c>
      <c r="C1074" s="826" t="s">
        <v>2504</v>
      </c>
      <c r="D1074" s="273" t="s">
        <v>2505</v>
      </c>
      <c r="E1074" s="768">
        <v>0</v>
      </c>
      <c r="F1074" s="768">
        <v>755043575.75</v>
      </c>
      <c r="G1074" s="768">
        <v>755043575.75</v>
      </c>
      <c r="H1074" s="768">
        <v>0</v>
      </c>
      <c r="I1074" s="768">
        <v>755043575.75</v>
      </c>
    </row>
    <row r="1075" spans="2:9" x14ac:dyDescent="0.2">
      <c r="B1075" s="274">
        <v>10</v>
      </c>
      <c r="C1075" s="826" t="s">
        <v>2506</v>
      </c>
      <c r="D1075" s="273" t="s">
        <v>2507</v>
      </c>
      <c r="E1075" s="768">
        <v>0</v>
      </c>
      <c r="F1075" s="768">
        <v>529698606.85000002</v>
      </c>
      <c r="G1075" s="768">
        <v>529698606.85000002</v>
      </c>
      <c r="H1075" s="768">
        <v>223045691.90000001</v>
      </c>
      <c r="I1075" s="768">
        <v>306652914.94999999</v>
      </c>
    </row>
    <row r="1076" spans="2:9" x14ac:dyDescent="0.2">
      <c r="B1076" s="274">
        <v>10</v>
      </c>
      <c r="C1076" s="826" t="s">
        <v>2508</v>
      </c>
      <c r="D1076" s="273" t="s">
        <v>2509</v>
      </c>
      <c r="E1076" s="768">
        <v>0</v>
      </c>
      <c r="F1076" s="768">
        <v>563131025.5</v>
      </c>
      <c r="G1076" s="768">
        <v>563131025.5</v>
      </c>
      <c r="H1076" s="768">
        <v>291064700.5</v>
      </c>
      <c r="I1076" s="768">
        <v>272066325</v>
      </c>
    </row>
    <row r="1077" spans="2:9" x14ac:dyDescent="0.2">
      <c r="B1077" s="274">
        <v>10</v>
      </c>
      <c r="C1077" s="826" t="s">
        <v>2510</v>
      </c>
      <c r="D1077" s="273" t="s">
        <v>2511</v>
      </c>
      <c r="E1077" s="768">
        <v>0</v>
      </c>
      <c r="F1077" s="768">
        <v>285925689.95999998</v>
      </c>
      <c r="G1077" s="768">
        <v>285925689.95999998</v>
      </c>
      <c r="H1077" s="768">
        <v>0</v>
      </c>
      <c r="I1077" s="768">
        <v>285925689.95999998</v>
      </c>
    </row>
    <row r="1078" spans="2:9" x14ac:dyDescent="0.2">
      <c r="B1078" s="274">
        <v>10</v>
      </c>
      <c r="C1078" s="826" t="s">
        <v>2512</v>
      </c>
      <c r="D1078" s="273" t="s">
        <v>2513</v>
      </c>
      <c r="E1078" s="768">
        <v>0</v>
      </c>
      <c r="F1078" s="768">
        <v>524773686.75999999</v>
      </c>
      <c r="G1078" s="768">
        <v>524773686.75999999</v>
      </c>
      <c r="H1078" s="768">
        <v>0</v>
      </c>
      <c r="I1078" s="768">
        <v>524773686.75999999</v>
      </c>
    </row>
    <row r="1079" spans="2:9" x14ac:dyDescent="0.2">
      <c r="B1079" s="274">
        <v>10</v>
      </c>
      <c r="C1079" s="826" t="s">
        <v>2514</v>
      </c>
      <c r="D1079" s="273" t="s">
        <v>2515</v>
      </c>
      <c r="E1079" s="768">
        <v>0</v>
      </c>
      <c r="F1079" s="768">
        <v>482889446.11000001</v>
      </c>
      <c r="G1079" s="768">
        <v>482889446.11000001</v>
      </c>
      <c r="H1079" s="768">
        <v>0</v>
      </c>
      <c r="I1079" s="768">
        <v>482889446.11000001</v>
      </c>
    </row>
    <row r="1080" spans="2:9" x14ac:dyDescent="0.2">
      <c r="B1080" s="274">
        <v>10</v>
      </c>
      <c r="C1080" s="826" t="s">
        <v>3194</v>
      </c>
      <c r="D1080" s="273" t="s">
        <v>3195</v>
      </c>
      <c r="E1080" s="768">
        <v>0</v>
      </c>
      <c r="F1080" s="768">
        <v>743626701.69000006</v>
      </c>
      <c r="G1080" s="768">
        <v>743626701.69000006</v>
      </c>
      <c r="H1080" s="768">
        <v>0</v>
      </c>
      <c r="I1080" s="768">
        <v>743626701.69000006</v>
      </c>
    </row>
    <row r="1081" spans="2:9" x14ac:dyDescent="0.2">
      <c r="B1081" s="274">
        <v>10</v>
      </c>
      <c r="C1081" s="826" t="s">
        <v>2516</v>
      </c>
      <c r="D1081" s="273" t="s">
        <v>2517</v>
      </c>
      <c r="E1081" s="768">
        <v>0</v>
      </c>
      <c r="F1081" s="768">
        <v>329291557.70999998</v>
      </c>
      <c r="G1081" s="768">
        <v>329291557.70999998</v>
      </c>
      <c r="H1081" s="768">
        <v>1513087</v>
      </c>
      <c r="I1081" s="768">
        <v>327778470.70999998</v>
      </c>
    </row>
    <row r="1082" spans="2:9" x14ac:dyDescent="0.2">
      <c r="B1082" s="274">
        <v>10</v>
      </c>
      <c r="C1082" s="826" t="s">
        <v>2518</v>
      </c>
      <c r="D1082" s="273" t="s">
        <v>2519</v>
      </c>
      <c r="E1082" s="768">
        <v>0</v>
      </c>
      <c r="F1082" s="768">
        <v>641060712.55999994</v>
      </c>
      <c r="G1082" s="768">
        <v>641060712.55999994</v>
      </c>
      <c r="H1082" s="768">
        <v>180042102</v>
      </c>
      <c r="I1082" s="768">
        <v>461018610.56</v>
      </c>
    </row>
    <row r="1083" spans="2:9" x14ac:dyDescent="0.2">
      <c r="B1083" s="274">
        <v>10</v>
      </c>
      <c r="C1083" s="826" t="s">
        <v>2520</v>
      </c>
      <c r="D1083" s="273" t="s">
        <v>2521</v>
      </c>
      <c r="E1083" s="768">
        <v>0</v>
      </c>
      <c r="F1083" s="768">
        <v>15022095.98</v>
      </c>
      <c r="G1083" s="768">
        <v>15022095.98</v>
      </c>
      <c r="H1083" s="768">
        <v>0</v>
      </c>
      <c r="I1083" s="768">
        <v>15022095.98</v>
      </c>
    </row>
    <row r="1084" spans="2:9" x14ac:dyDescent="0.2">
      <c r="B1084" s="274">
        <v>10</v>
      </c>
      <c r="C1084" s="826" t="s">
        <v>2522</v>
      </c>
      <c r="D1084" s="273" t="s">
        <v>2523</v>
      </c>
      <c r="E1084" s="768">
        <v>0</v>
      </c>
      <c r="F1084" s="768">
        <v>1077699904.3800001</v>
      </c>
      <c r="G1084" s="768">
        <v>1077699904.3800001</v>
      </c>
      <c r="H1084" s="768">
        <v>465633973.80000001</v>
      </c>
      <c r="I1084" s="768">
        <v>612065930.58000004</v>
      </c>
    </row>
    <row r="1085" spans="2:9" x14ac:dyDescent="0.2">
      <c r="B1085" s="274">
        <v>10</v>
      </c>
      <c r="C1085" s="826" t="s">
        <v>2524</v>
      </c>
      <c r="D1085" s="273" t="s">
        <v>2525</v>
      </c>
      <c r="E1085" s="768">
        <v>0</v>
      </c>
      <c r="F1085" s="768">
        <v>156861985.25999999</v>
      </c>
      <c r="G1085" s="768">
        <v>156861985.25999999</v>
      </c>
      <c r="H1085" s="768">
        <v>0</v>
      </c>
      <c r="I1085" s="768">
        <v>156861985.25999999</v>
      </c>
    </row>
    <row r="1086" spans="2:9" x14ac:dyDescent="0.2">
      <c r="B1086" s="274">
        <v>10</v>
      </c>
      <c r="C1086" s="826" t="s">
        <v>2526</v>
      </c>
      <c r="D1086" s="273" t="s">
        <v>2527</v>
      </c>
      <c r="E1086" s="768">
        <v>0</v>
      </c>
      <c r="F1086" s="768">
        <v>996279217.42999995</v>
      </c>
      <c r="G1086" s="768">
        <v>996279217.42999995</v>
      </c>
      <c r="H1086" s="768">
        <v>0</v>
      </c>
      <c r="I1086" s="768">
        <v>996279217.42999995</v>
      </c>
    </row>
    <row r="1087" spans="2:9" x14ac:dyDescent="0.2">
      <c r="B1087" s="274">
        <v>10</v>
      </c>
      <c r="C1087" s="826" t="s">
        <v>2528</v>
      </c>
      <c r="D1087" s="273" t="s">
        <v>2529</v>
      </c>
      <c r="E1087" s="768">
        <v>0</v>
      </c>
      <c r="F1087" s="768">
        <v>742209338.13</v>
      </c>
      <c r="G1087" s="768">
        <v>742209338.13</v>
      </c>
      <c r="H1087" s="768">
        <v>228852436.44999999</v>
      </c>
      <c r="I1087" s="768">
        <v>513356901.68000001</v>
      </c>
    </row>
    <row r="1088" spans="2:9" x14ac:dyDescent="0.2">
      <c r="B1088" s="274">
        <v>10</v>
      </c>
      <c r="C1088" s="826" t="s">
        <v>2530</v>
      </c>
      <c r="D1088" s="273" t="s">
        <v>2531</v>
      </c>
      <c r="E1088" s="768">
        <v>0</v>
      </c>
      <c r="F1088" s="768">
        <v>878644485.71000004</v>
      </c>
      <c r="G1088" s="768">
        <v>878644485.71000004</v>
      </c>
      <c r="H1088" s="768">
        <v>0</v>
      </c>
      <c r="I1088" s="768">
        <v>878644485.71000004</v>
      </c>
    </row>
    <row r="1089" spans="2:9" x14ac:dyDescent="0.2">
      <c r="B1089" s="274">
        <v>10</v>
      </c>
      <c r="C1089" s="826" t="s">
        <v>2532</v>
      </c>
      <c r="D1089" s="273" t="s">
        <v>2533</v>
      </c>
      <c r="E1089" s="768">
        <v>0</v>
      </c>
      <c r="F1089" s="768">
        <v>553152392.78999996</v>
      </c>
      <c r="G1089" s="768">
        <v>553152392.78999996</v>
      </c>
      <c r="H1089" s="768">
        <v>182679851.75</v>
      </c>
      <c r="I1089" s="768">
        <v>370472541.04000002</v>
      </c>
    </row>
    <row r="1090" spans="2:9" x14ac:dyDescent="0.2">
      <c r="B1090" s="274">
        <v>10</v>
      </c>
      <c r="C1090" s="826" t="s">
        <v>3773</v>
      </c>
      <c r="D1090" s="273" t="s">
        <v>3774</v>
      </c>
      <c r="E1090" s="768">
        <v>0</v>
      </c>
      <c r="F1090" s="768">
        <v>16709417.199999999</v>
      </c>
      <c r="G1090" s="768">
        <v>16709417.199999999</v>
      </c>
      <c r="H1090" s="768">
        <v>0</v>
      </c>
      <c r="I1090" s="768">
        <v>16709417.199999999</v>
      </c>
    </row>
    <row r="1092" spans="2:9" s="771" customFormat="1" ht="24" customHeight="1" thickBot="1" x14ac:dyDescent="0.25">
      <c r="B1092" s="1114" t="s">
        <v>53</v>
      </c>
      <c r="C1092" s="1114"/>
      <c r="D1092" s="1114"/>
      <c r="E1092" s="827">
        <f>E1029+E899+E796+E727+E673+E530+E521+E454+E318+E4</f>
        <v>332542644000</v>
      </c>
      <c r="F1092" s="827">
        <f>F1029+F899+F796+F727+F673+F530+F521+F454+F318+F4</f>
        <v>15004884399.689999</v>
      </c>
      <c r="G1092" s="827">
        <f>G1029+G899+G796+G727+G673+G530+G521+G454+G318+G4</f>
        <v>347547528399.69</v>
      </c>
      <c r="H1092" s="827">
        <f>H1029+H899+H796+H727+H673+H530+H521+H454+H318+H4</f>
        <v>145230668185.57001</v>
      </c>
      <c r="I1092" s="827">
        <f>I1029+I899+I796+I727+I673+I530+I521+I454+I318+I4</f>
        <v>202316860214.12</v>
      </c>
    </row>
    <row r="1094" spans="2:9" ht="15" x14ac:dyDescent="0.25">
      <c r="B1094" s="828" t="s">
        <v>121</v>
      </c>
    </row>
    <row r="1095" spans="2:9" x14ac:dyDescent="0.2">
      <c r="B1095" s="829"/>
    </row>
    <row r="1096" spans="2:9" s="451" customFormat="1" ht="14.25" x14ac:dyDescent="0.2">
      <c r="B1096" s="830" t="s">
        <v>3775</v>
      </c>
      <c r="C1096" s="831"/>
      <c r="E1096" s="832"/>
      <c r="F1096" s="832"/>
      <c r="G1096" s="832"/>
      <c r="H1096" s="832"/>
      <c r="I1096" s="832" t="s">
        <v>468</v>
      </c>
    </row>
    <row r="1097" spans="2:9" x14ac:dyDescent="0.2">
      <c r="E1097" s="768" t="s">
        <v>468</v>
      </c>
    </row>
    <row r="1098" spans="2:9" x14ac:dyDescent="0.2">
      <c r="E1098" s="768" t="s">
        <v>468</v>
      </c>
    </row>
  </sheetData>
  <mergeCells count="1">
    <mergeCell ref="B1092:D1092"/>
  </mergeCells>
  <phoneticPr fontId="0" type="noConversion"/>
  <pageMargins left="1.3385826771653544" right="0.39370078740157483" top="1.4960629921259843" bottom="0.6692913385826772" header="0.39370078740157483" footer="0.47244094488188981"/>
  <pageSetup paperSize="9" scale="65" firstPageNumber="62" fitToHeight="0" orientation="landscape" r:id="rId1"/>
  <headerFooter alignWithMargins="0">
    <oddHeader>&amp;C&amp;"Arial,Negrita"&amp;11UNIVERSIDAD DE COSTA RICA
VICERRECTORÍA DE ADMINISTRACIÓN
OFICINA DE ADMINISTRACIÓN FINANCIERA
SITUACIÓN PRESUPUESTARIA
 EGRESOS POR SECCIÓN Y UNIDAD EJECUTORA
Al 30 de junio de 2017
Expresado en colones</oddHeader>
    <oddFooter>&amp;C&amp;P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9"/>
  <sheetViews>
    <sheetView workbookViewId="0">
      <selection activeCell="I35" sqref="I35"/>
    </sheetView>
  </sheetViews>
  <sheetFormatPr baseColWidth="10" defaultRowHeight="12.75" x14ac:dyDescent="0.2"/>
  <sheetData>
    <row r="19" spans="1:1" x14ac:dyDescent="0.2">
      <c r="A19" s="2"/>
    </row>
  </sheetData>
  <phoneticPr fontId="0" type="noConversion"/>
  <printOptions horizontalCentered="1" verticalCentered="1"/>
  <pageMargins left="1.1811023622047245" right="0.74803149606299213" top="0" bottom="0.98425196850393704" header="0" footer="0"/>
  <pageSetup paperSize="9" scale="95" firstPageNumber="84"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350"/>
  <sheetViews>
    <sheetView topLeftCell="A2" zoomScale="120" zoomScaleNormal="120" zoomScalePageLayoutView="120" workbookViewId="0">
      <selection activeCell="F9" sqref="F9"/>
    </sheetView>
  </sheetViews>
  <sheetFormatPr baseColWidth="10" defaultRowHeight="12.75" x14ac:dyDescent="0.2"/>
  <cols>
    <col min="1" max="1" width="11.85546875" style="17" customWidth="1"/>
    <col min="2" max="2" width="39.28515625" style="17" customWidth="1"/>
    <col min="3" max="7" width="18.42578125" style="17" customWidth="1"/>
    <col min="8" max="8" width="10.85546875" style="272"/>
    <col min="9" max="256" width="10.85546875" style="17"/>
    <col min="257" max="257" width="11.85546875" style="17" customWidth="1"/>
    <col min="258" max="258" width="39.28515625" style="17" customWidth="1"/>
    <col min="259" max="263" width="18.42578125" style="17" customWidth="1"/>
    <col min="264" max="512" width="10.85546875" style="17"/>
    <col min="513" max="513" width="11.85546875" style="17" customWidth="1"/>
    <col min="514" max="514" width="39.28515625" style="17" customWidth="1"/>
    <col min="515" max="519" width="18.42578125" style="17" customWidth="1"/>
    <col min="520" max="768" width="10.85546875" style="17"/>
    <col min="769" max="769" width="11.85546875" style="17" customWidth="1"/>
    <col min="770" max="770" width="39.28515625" style="17" customWidth="1"/>
    <col min="771" max="775" width="18.42578125" style="17" customWidth="1"/>
    <col min="776" max="1024" width="10.85546875" style="17"/>
    <col min="1025" max="1025" width="11.85546875" style="17" customWidth="1"/>
    <col min="1026" max="1026" width="39.28515625" style="17" customWidth="1"/>
    <col min="1027" max="1031" width="18.42578125" style="17" customWidth="1"/>
    <col min="1032" max="1280" width="10.85546875" style="17"/>
    <col min="1281" max="1281" width="11.85546875" style="17" customWidth="1"/>
    <col min="1282" max="1282" width="39.28515625" style="17" customWidth="1"/>
    <col min="1283" max="1287" width="18.42578125" style="17" customWidth="1"/>
    <col min="1288" max="1536" width="10.85546875" style="17"/>
    <col min="1537" max="1537" width="11.85546875" style="17" customWidth="1"/>
    <col min="1538" max="1538" width="39.28515625" style="17" customWidth="1"/>
    <col min="1539" max="1543" width="18.42578125" style="17" customWidth="1"/>
    <col min="1544" max="1792" width="10.85546875" style="17"/>
    <col min="1793" max="1793" width="11.85546875" style="17" customWidth="1"/>
    <col min="1794" max="1794" width="39.28515625" style="17" customWidth="1"/>
    <col min="1795" max="1799" width="18.42578125" style="17" customWidth="1"/>
    <col min="1800" max="2048" width="10.85546875" style="17"/>
    <col min="2049" max="2049" width="11.85546875" style="17" customWidth="1"/>
    <col min="2050" max="2050" width="39.28515625" style="17" customWidth="1"/>
    <col min="2051" max="2055" width="18.42578125" style="17" customWidth="1"/>
    <col min="2056" max="2304" width="10.85546875" style="17"/>
    <col min="2305" max="2305" width="11.85546875" style="17" customWidth="1"/>
    <col min="2306" max="2306" width="39.28515625" style="17" customWidth="1"/>
    <col min="2307" max="2311" width="18.42578125" style="17" customWidth="1"/>
    <col min="2312" max="2560" width="10.85546875" style="17"/>
    <col min="2561" max="2561" width="11.85546875" style="17" customWidth="1"/>
    <col min="2562" max="2562" width="39.28515625" style="17" customWidth="1"/>
    <col min="2563" max="2567" width="18.42578125" style="17" customWidth="1"/>
    <col min="2568" max="2816" width="10.85546875" style="17"/>
    <col min="2817" max="2817" width="11.85546875" style="17" customWidth="1"/>
    <col min="2818" max="2818" width="39.28515625" style="17" customWidth="1"/>
    <col min="2819" max="2823" width="18.42578125" style="17" customWidth="1"/>
    <col min="2824" max="3072" width="10.85546875" style="17"/>
    <col min="3073" max="3073" width="11.85546875" style="17" customWidth="1"/>
    <col min="3074" max="3074" width="39.28515625" style="17" customWidth="1"/>
    <col min="3075" max="3079" width="18.42578125" style="17" customWidth="1"/>
    <col min="3080" max="3328" width="10.85546875" style="17"/>
    <col min="3329" max="3329" width="11.85546875" style="17" customWidth="1"/>
    <col min="3330" max="3330" width="39.28515625" style="17" customWidth="1"/>
    <col min="3331" max="3335" width="18.42578125" style="17" customWidth="1"/>
    <col min="3336" max="3584" width="10.85546875" style="17"/>
    <col min="3585" max="3585" width="11.85546875" style="17" customWidth="1"/>
    <col min="3586" max="3586" width="39.28515625" style="17" customWidth="1"/>
    <col min="3587" max="3591" width="18.42578125" style="17" customWidth="1"/>
    <col min="3592" max="3840" width="10.85546875" style="17"/>
    <col min="3841" max="3841" width="11.85546875" style="17" customWidth="1"/>
    <col min="3842" max="3842" width="39.28515625" style="17" customWidth="1"/>
    <col min="3843" max="3847" width="18.42578125" style="17" customWidth="1"/>
    <col min="3848" max="4096" width="10.85546875" style="17"/>
    <col min="4097" max="4097" width="11.85546875" style="17" customWidth="1"/>
    <col min="4098" max="4098" width="39.28515625" style="17" customWidth="1"/>
    <col min="4099" max="4103" width="18.42578125" style="17" customWidth="1"/>
    <col min="4104" max="4352" width="10.85546875" style="17"/>
    <col min="4353" max="4353" width="11.85546875" style="17" customWidth="1"/>
    <col min="4354" max="4354" width="39.28515625" style="17" customWidth="1"/>
    <col min="4355" max="4359" width="18.42578125" style="17" customWidth="1"/>
    <col min="4360" max="4608" width="10.85546875" style="17"/>
    <col min="4609" max="4609" width="11.85546875" style="17" customWidth="1"/>
    <col min="4610" max="4610" width="39.28515625" style="17" customWidth="1"/>
    <col min="4611" max="4615" width="18.42578125" style="17" customWidth="1"/>
    <col min="4616" max="4864" width="10.85546875" style="17"/>
    <col min="4865" max="4865" width="11.85546875" style="17" customWidth="1"/>
    <col min="4866" max="4866" width="39.28515625" style="17" customWidth="1"/>
    <col min="4867" max="4871" width="18.42578125" style="17" customWidth="1"/>
    <col min="4872" max="5120" width="10.85546875" style="17"/>
    <col min="5121" max="5121" width="11.85546875" style="17" customWidth="1"/>
    <col min="5122" max="5122" width="39.28515625" style="17" customWidth="1"/>
    <col min="5123" max="5127" width="18.42578125" style="17" customWidth="1"/>
    <col min="5128" max="5376" width="10.85546875" style="17"/>
    <col min="5377" max="5377" width="11.85546875" style="17" customWidth="1"/>
    <col min="5378" max="5378" width="39.28515625" style="17" customWidth="1"/>
    <col min="5379" max="5383" width="18.42578125" style="17" customWidth="1"/>
    <col min="5384" max="5632" width="10.85546875" style="17"/>
    <col min="5633" max="5633" width="11.85546875" style="17" customWidth="1"/>
    <col min="5634" max="5634" width="39.28515625" style="17" customWidth="1"/>
    <col min="5635" max="5639" width="18.42578125" style="17" customWidth="1"/>
    <col min="5640" max="5888" width="10.85546875" style="17"/>
    <col min="5889" max="5889" width="11.85546875" style="17" customWidth="1"/>
    <col min="5890" max="5890" width="39.28515625" style="17" customWidth="1"/>
    <col min="5891" max="5895" width="18.42578125" style="17" customWidth="1"/>
    <col min="5896" max="6144" width="10.85546875" style="17"/>
    <col min="6145" max="6145" width="11.85546875" style="17" customWidth="1"/>
    <col min="6146" max="6146" width="39.28515625" style="17" customWidth="1"/>
    <col min="6147" max="6151" width="18.42578125" style="17" customWidth="1"/>
    <col min="6152" max="6400" width="10.85546875" style="17"/>
    <col min="6401" max="6401" width="11.85546875" style="17" customWidth="1"/>
    <col min="6402" max="6402" width="39.28515625" style="17" customWidth="1"/>
    <col min="6403" max="6407" width="18.42578125" style="17" customWidth="1"/>
    <col min="6408" max="6656" width="10.85546875" style="17"/>
    <col min="6657" max="6657" width="11.85546875" style="17" customWidth="1"/>
    <col min="6658" max="6658" width="39.28515625" style="17" customWidth="1"/>
    <col min="6659" max="6663" width="18.42578125" style="17" customWidth="1"/>
    <col min="6664" max="6912" width="10.85546875" style="17"/>
    <col min="6913" max="6913" width="11.85546875" style="17" customWidth="1"/>
    <col min="6914" max="6914" width="39.28515625" style="17" customWidth="1"/>
    <col min="6915" max="6919" width="18.42578125" style="17" customWidth="1"/>
    <col min="6920" max="7168" width="10.85546875" style="17"/>
    <col min="7169" max="7169" width="11.85546875" style="17" customWidth="1"/>
    <col min="7170" max="7170" width="39.28515625" style="17" customWidth="1"/>
    <col min="7171" max="7175" width="18.42578125" style="17" customWidth="1"/>
    <col min="7176" max="7424" width="10.85546875" style="17"/>
    <col min="7425" max="7425" width="11.85546875" style="17" customWidth="1"/>
    <col min="7426" max="7426" width="39.28515625" style="17" customWidth="1"/>
    <col min="7427" max="7431" width="18.42578125" style="17" customWidth="1"/>
    <col min="7432" max="7680" width="10.85546875" style="17"/>
    <col min="7681" max="7681" width="11.85546875" style="17" customWidth="1"/>
    <col min="7682" max="7682" width="39.28515625" style="17" customWidth="1"/>
    <col min="7683" max="7687" width="18.42578125" style="17" customWidth="1"/>
    <col min="7688" max="7936" width="10.85546875" style="17"/>
    <col min="7937" max="7937" width="11.85546875" style="17" customWidth="1"/>
    <col min="7938" max="7938" width="39.28515625" style="17" customWidth="1"/>
    <col min="7939" max="7943" width="18.42578125" style="17" customWidth="1"/>
    <col min="7944" max="8192" width="10.85546875" style="17"/>
    <col min="8193" max="8193" width="11.85546875" style="17" customWidth="1"/>
    <col min="8194" max="8194" width="39.28515625" style="17" customWidth="1"/>
    <col min="8195" max="8199" width="18.42578125" style="17" customWidth="1"/>
    <col min="8200" max="8448" width="10.85546875" style="17"/>
    <col min="8449" max="8449" width="11.85546875" style="17" customWidth="1"/>
    <col min="8450" max="8450" width="39.28515625" style="17" customWidth="1"/>
    <col min="8451" max="8455" width="18.42578125" style="17" customWidth="1"/>
    <col min="8456" max="8704" width="10.85546875" style="17"/>
    <col min="8705" max="8705" width="11.85546875" style="17" customWidth="1"/>
    <col min="8706" max="8706" width="39.28515625" style="17" customWidth="1"/>
    <col min="8707" max="8711" width="18.42578125" style="17" customWidth="1"/>
    <col min="8712" max="8960" width="10.85546875" style="17"/>
    <col min="8961" max="8961" width="11.85546875" style="17" customWidth="1"/>
    <col min="8962" max="8962" width="39.28515625" style="17" customWidth="1"/>
    <col min="8963" max="8967" width="18.42578125" style="17" customWidth="1"/>
    <col min="8968" max="9216" width="10.85546875" style="17"/>
    <col min="9217" max="9217" width="11.85546875" style="17" customWidth="1"/>
    <col min="9218" max="9218" width="39.28515625" style="17" customWidth="1"/>
    <col min="9219" max="9223" width="18.42578125" style="17" customWidth="1"/>
    <col min="9224" max="9472" width="10.85546875" style="17"/>
    <col min="9473" max="9473" width="11.85546875" style="17" customWidth="1"/>
    <col min="9474" max="9474" width="39.28515625" style="17" customWidth="1"/>
    <col min="9475" max="9479" width="18.42578125" style="17" customWidth="1"/>
    <col min="9480" max="9728" width="10.85546875" style="17"/>
    <col min="9729" max="9729" width="11.85546875" style="17" customWidth="1"/>
    <col min="9730" max="9730" width="39.28515625" style="17" customWidth="1"/>
    <col min="9731" max="9735" width="18.42578125" style="17" customWidth="1"/>
    <col min="9736" max="9984" width="10.85546875" style="17"/>
    <col min="9985" max="9985" width="11.85546875" style="17" customWidth="1"/>
    <col min="9986" max="9986" width="39.28515625" style="17" customWidth="1"/>
    <col min="9987" max="9991" width="18.42578125" style="17" customWidth="1"/>
    <col min="9992" max="10240" width="10.85546875" style="17"/>
    <col min="10241" max="10241" width="11.85546875" style="17" customWidth="1"/>
    <col min="10242" max="10242" width="39.28515625" style="17" customWidth="1"/>
    <col min="10243" max="10247" width="18.42578125" style="17" customWidth="1"/>
    <col min="10248" max="10496" width="10.85546875" style="17"/>
    <col min="10497" max="10497" width="11.85546875" style="17" customWidth="1"/>
    <col min="10498" max="10498" width="39.28515625" style="17" customWidth="1"/>
    <col min="10499" max="10503" width="18.42578125" style="17" customWidth="1"/>
    <col min="10504" max="10752" width="10.85546875" style="17"/>
    <col min="10753" max="10753" width="11.85546875" style="17" customWidth="1"/>
    <col min="10754" max="10754" width="39.28515625" style="17" customWidth="1"/>
    <col min="10755" max="10759" width="18.42578125" style="17" customWidth="1"/>
    <col min="10760" max="11008" width="10.85546875" style="17"/>
    <col min="11009" max="11009" width="11.85546875" style="17" customWidth="1"/>
    <col min="11010" max="11010" width="39.28515625" style="17" customWidth="1"/>
    <col min="11011" max="11015" width="18.42578125" style="17" customWidth="1"/>
    <col min="11016" max="11264" width="10.85546875" style="17"/>
    <col min="11265" max="11265" width="11.85546875" style="17" customWidth="1"/>
    <col min="11266" max="11266" width="39.28515625" style="17" customWidth="1"/>
    <col min="11267" max="11271" width="18.42578125" style="17" customWidth="1"/>
    <col min="11272" max="11520" width="10.85546875" style="17"/>
    <col min="11521" max="11521" width="11.85546875" style="17" customWidth="1"/>
    <col min="11522" max="11522" width="39.28515625" style="17" customWidth="1"/>
    <col min="11523" max="11527" width="18.42578125" style="17" customWidth="1"/>
    <col min="11528" max="11776" width="10.85546875" style="17"/>
    <col min="11777" max="11777" width="11.85546875" style="17" customWidth="1"/>
    <col min="11778" max="11778" width="39.28515625" style="17" customWidth="1"/>
    <col min="11779" max="11783" width="18.42578125" style="17" customWidth="1"/>
    <col min="11784" max="12032" width="10.85546875" style="17"/>
    <col min="12033" max="12033" width="11.85546875" style="17" customWidth="1"/>
    <col min="12034" max="12034" width="39.28515625" style="17" customWidth="1"/>
    <col min="12035" max="12039" width="18.42578125" style="17" customWidth="1"/>
    <col min="12040" max="12288" width="10.85546875" style="17"/>
    <col min="12289" max="12289" width="11.85546875" style="17" customWidth="1"/>
    <col min="12290" max="12290" width="39.28515625" style="17" customWidth="1"/>
    <col min="12291" max="12295" width="18.42578125" style="17" customWidth="1"/>
    <col min="12296" max="12544" width="10.85546875" style="17"/>
    <col min="12545" max="12545" width="11.85546875" style="17" customWidth="1"/>
    <col min="12546" max="12546" width="39.28515625" style="17" customWidth="1"/>
    <col min="12547" max="12551" width="18.42578125" style="17" customWidth="1"/>
    <col min="12552" max="12800" width="10.85546875" style="17"/>
    <col min="12801" max="12801" width="11.85546875" style="17" customWidth="1"/>
    <col min="12802" max="12802" width="39.28515625" style="17" customWidth="1"/>
    <col min="12803" max="12807" width="18.42578125" style="17" customWidth="1"/>
    <col min="12808" max="13056" width="10.85546875" style="17"/>
    <col min="13057" max="13057" width="11.85546875" style="17" customWidth="1"/>
    <col min="13058" max="13058" width="39.28515625" style="17" customWidth="1"/>
    <col min="13059" max="13063" width="18.42578125" style="17" customWidth="1"/>
    <col min="13064" max="13312" width="10.85546875" style="17"/>
    <col min="13313" max="13313" width="11.85546875" style="17" customWidth="1"/>
    <col min="13314" max="13314" width="39.28515625" style="17" customWidth="1"/>
    <col min="13315" max="13319" width="18.42578125" style="17" customWidth="1"/>
    <col min="13320" max="13568" width="10.85546875" style="17"/>
    <col min="13569" max="13569" width="11.85546875" style="17" customWidth="1"/>
    <col min="13570" max="13570" width="39.28515625" style="17" customWidth="1"/>
    <col min="13571" max="13575" width="18.42578125" style="17" customWidth="1"/>
    <col min="13576" max="13824" width="10.85546875" style="17"/>
    <col min="13825" max="13825" width="11.85546875" style="17" customWidth="1"/>
    <col min="13826" max="13826" width="39.28515625" style="17" customWidth="1"/>
    <col min="13827" max="13831" width="18.42578125" style="17" customWidth="1"/>
    <col min="13832" max="14080" width="10.85546875" style="17"/>
    <col min="14081" max="14081" width="11.85546875" style="17" customWidth="1"/>
    <col min="14082" max="14082" width="39.28515625" style="17" customWidth="1"/>
    <col min="14083" max="14087" width="18.42578125" style="17" customWidth="1"/>
    <col min="14088" max="14336" width="10.85546875" style="17"/>
    <col min="14337" max="14337" width="11.85546875" style="17" customWidth="1"/>
    <col min="14338" max="14338" width="39.28515625" style="17" customWidth="1"/>
    <col min="14339" max="14343" width="18.42578125" style="17" customWidth="1"/>
    <col min="14344" max="14592" width="10.85546875" style="17"/>
    <col min="14593" max="14593" width="11.85546875" style="17" customWidth="1"/>
    <col min="14594" max="14594" width="39.28515625" style="17" customWidth="1"/>
    <col min="14595" max="14599" width="18.42578125" style="17" customWidth="1"/>
    <col min="14600" max="14848" width="10.85546875" style="17"/>
    <col min="14849" max="14849" width="11.85546875" style="17" customWidth="1"/>
    <col min="14850" max="14850" width="39.28515625" style="17" customWidth="1"/>
    <col min="14851" max="14855" width="18.42578125" style="17" customWidth="1"/>
    <col min="14856" max="15104" width="10.85546875" style="17"/>
    <col min="15105" max="15105" width="11.85546875" style="17" customWidth="1"/>
    <col min="15106" max="15106" width="39.28515625" style="17" customWidth="1"/>
    <col min="15107" max="15111" width="18.42578125" style="17" customWidth="1"/>
    <col min="15112" max="15360" width="10.85546875" style="17"/>
    <col min="15361" max="15361" width="11.85546875" style="17" customWidth="1"/>
    <col min="15362" max="15362" width="39.28515625" style="17" customWidth="1"/>
    <col min="15363" max="15367" width="18.42578125" style="17" customWidth="1"/>
    <col min="15368" max="15616" width="10.85546875" style="17"/>
    <col min="15617" max="15617" width="11.85546875" style="17" customWidth="1"/>
    <col min="15618" max="15618" width="39.28515625" style="17" customWidth="1"/>
    <col min="15619" max="15623" width="18.42578125" style="17" customWidth="1"/>
    <col min="15624" max="15872" width="10.85546875" style="17"/>
    <col min="15873" max="15873" width="11.85546875" style="17" customWidth="1"/>
    <col min="15874" max="15874" width="39.28515625" style="17" customWidth="1"/>
    <col min="15875" max="15879" width="18.42578125" style="17" customWidth="1"/>
    <col min="15880" max="16128" width="10.85546875" style="17"/>
    <col min="16129" max="16129" width="11.85546875" style="17" customWidth="1"/>
    <col min="16130" max="16130" width="39.28515625" style="17" customWidth="1"/>
    <col min="16131" max="16135" width="18.42578125" style="17" customWidth="1"/>
    <col min="16136" max="16384" width="10.85546875" style="17"/>
  </cols>
  <sheetData>
    <row r="1" spans="1:8" s="232" customFormat="1" ht="13.5" thickBot="1" x14ac:dyDescent="0.25">
      <c r="A1" s="833"/>
      <c r="B1" s="834"/>
      <c r="C1" s="834"/>
      <c r="D1" s="834"/>
      <c r="E1" s="834"/>
      <c r="F1" s="834"/>
      <c r="G1" s="834"/>
      <c r="H1" s="835"/>
    </row>
    <row r="2" spans="1:8" s="232" customFormat="1" ht="24" x14ac:dyDescent="0.2">
      <c r="A2" s="836" t="s">
        <v>3776</v>
      </c>
      <c r="B2" s="836" t="s">
        <v>2357</v>
      </c>
      <c r="C2" s="836" t="s">
        <v>3606</v>
      </c>
      <c r="D2" s="836" t="s">
        <v>3777</v>
      </c>
      <c r="E2" s="836" t="s">
        <v>3608</v>
      </c>
      <c r="F2" s="836" t="s">
        <v>531</v>
      </c>
      <c r="G2" s="836" t="s">
        <v>3778</v>
      </c>
      <c r="H2" s="837" t="s">
        <v>1499</v>
      </c>
    </row>
    <row r="3" spans="1:8" ht="6" customHeight="1" x14ac:dyDescent="0.2">
      <c r="A3" s="738"/>
      <c r="B3" s="838"/>
      <c r="C3" s="838"/>
      <c r="D3" s="838"/>
      <c r="E3" s="838"/>
      <c r="F3" s="838"/>
      <c r="G3" s="838"/>
      <c r="H3" s="839"/>
    </row>
    <row r="4" spans="1:8" s="232" customFormat="1" x14ac:dyDescent="0.2">
      <c r="A4" s="840">
        <v>0</v>
      </c>
      <c r="B4" s="295" t="s">
        <v>268</v>
      </c>
      <c r="C4" s="841">
        <f>C5+C20+C27+C43+C48+C58</f>
        <v>195294779376.92001</v>
      </c>
      <c r="D4" s="841">
        <f>D5+D20+D27+D43+D48+D58</f>
        <v>4185562925.3899999</v>
      </c>
      <c r="E4" s="841">
        <f>C4+D4</f>
        <v>199480342302.31003</v>
      </c>
      <c r="F4" s="841">
        <f>F5+F20+F27+F43+F48+F58</f>
        <v>101345331615.13</v>
      </c>
      <c r="G4" s="841">
        <v>98135010687.179993</v>
      </c>
      <c r="H4" s="842">
        <f>F4/E4</f>
        <v>0.50804670999382184</v>
      </c>
    </row>
    <row r="5" spans="1:8" s="232" customFormat="1" x14ac:dyDescent="0.2">
      <c r="A5" s="843" t="s">
        <v>1867</v>
      </c>
      <c r="B5" s="275" t="s">
        <v>243</v>
      </c>
      <c r="C5" s="844">
        <v>57819873229.919998</v>
      </c>
      <c r="D5" s="844">
        <v>1424344287.6199999</v>
      </c>
      <c r="E5" s="844">
        <f>C5+D5</f>
        <v>59244217517.540001</v>
      </c>
      <c r="F5" s="844">
        <v>26844154482.450001</v>
      </c>
      <c r="G5" s="844">
        <f>E5-F5</f>
        <v>32400063035.09</v>
      </c>
      <c r="H5" s="842">
        <f t="shared" ref="H5:H68" si="0">F5/E5</f>
        <v>0.45311011955727915</v>
      </c>
    </row>
    <row r="6" spans="1:8" x14ac:dyDescent="0.2">
      <c r="A6" s="843" t="s">
        <v>1868</v>
      </c>
      <c r="B6" s="275" t="s">
        <v>244</v>
      </c>
      <c r="C6" s="844">
        <v>47123937061.129997</v>
      </c>
      <c r="D6" s="844">
        <v>1072556946.88</v>
      </c>
      <c r="E6" s="844">
        <f t="shared" ref="E6:E69" si="1">C6+D6</f>
        <v>48196494008.009995</v>
      </c>
      <c r="F6" s="844">
        <v>22006563033</v>
      </c>
      <c r="G6" s="844">
        <v>26189930975.009998</v>
      </c>
      <c r="H6" s="842">
        <f t="shared" si="0"/>
        <v>0.45660091021024535</v>
      </c>
    </row>
    <row r="7" spans="1:8" x14ac:dyDescent="0.2">
      <c r="A7" s="843" t="s">
        <v>1869</v>
      </c>
      <c r="B7" s="275" t="s">
        <v>245</v>
      </c>
      <c r="C7" s="844">
        <v>45856730111.57</v>
      </c>
      <c r="D7" s="844">
        <v>1044132104.17</v>
      </c>
      <c r="E7" s="844">
        <f t="shared" si="1"/>
        <v>46900862215.739998</v>
      </c>
      <c r="F7" s="844">
        <v>21398832558.700001</v>
      </c>
      <c r="G7" s="844">
        <v>25502029657.040001</v>
      </c>
      <c r="H7" s="842">
        <f t="shared" si="0"/>
        <v>0.45625669865656587</v>
      </c>
    </row>
    <row r="8" spans="1:8" x14ac:dyDescent="0.2">
      <c r="A8" s="843" t="s">
        <v>1870</v>
      </c>
      <c r="B8" s="275" t="s">
        <v>1430</v>
      </c>
      <c r="C8" s="844">
        <v>1266606949.5599999</v>
      </c>
      <c r="D8" s="844">
        <v>28424842.710000001</v>
      </c>
      <c r="E8" s="844">
        <f t="shared" si="1"/>
        <v>1295031792.27</v>
      </c>
      <c r="F8" s="844">
        <v>607715862.29999995</v>
      </c>
      <c r="G8" s="844">
        <v>687315929.97000003</v>
      </c>
      <c r="H8" s="842">
        <f t="shared" si="0"/>
        <v>0.46926713763124189</v>
      </c>
    </row>
    <row r="9" spans="1:8" x14ac:dyDescent="0.2">
      <c r="A9" s="843" t="s">
        <v>1871</v>
      </c>
      <c r="B9" s="275" t="s">
        <v>3196</v>
      </c>
      <c r="C9" s="844">
        <v>600000</v>
      </c>
      <c r="D9" s="844">
        <v>0</v>
      </c>
      <c r="E9" s="844">
        <f t="shared" si="1"/>
        <v>600000</v>
      </c>
      <c r="F9" s="844">
        <v>14612</v>
      </c>
      <c r="G9" s="844">
        <v>585388</v>
      </c>
      <c r="H9" s="842">
        <f t="shared" si="0"/>
        <v>2.4353333333333334E-2</v>
      </c>
    </row>
    <row r="10" spans="1:8" x14ac:dyDescent="0.2">
      <c r="A10" s="843" t="s">
        <v>1872</v>
      </c>
      <c r="B10" s="275" t="s">
        <v>1432</v>
      </c>
      <c r="C10" s="844">
        <v>54800000</v>
      </c>
      <c r="D10" s="844">
        <v>0</v>
      </c>
      <c r="E10" s="844">
        <f t="shared" si="1"/>
        <v>54800000</v>
      </c>
      <c r="F10" s="844">
        <v>5654371.1500000004</v>
      </c>
      <c r="G10" s="844">
        <v>49145628.850000001</v>
      </c>
      <c r="H10" s="842">
        <f t="shared" si="0"/>
        <v>0.10318195529197081</v>
      </c>
    </row>
    <row r="11" spans="1:8" x14ac:dyDescent="0.2">
      <c r="A11" s="843" t="s">
        <v>1873</v>
      </c>
      <c r="B11" s="275" t="s">
        <v>1432</v>
      </c>
      <c r="C11" s="844">
        <v>54800000</v>
      </c>
      <c r="D11" s="844">
        <v>0</v>
      </c>
      <c r="E11" s="844">
        <f t="shared" si="1"/>
        <v>54800000</v>
      </c>
      <c r="F11" s="844">
        <v>5654371.1500000004</v>
      </c>
      <c r="G11" s="844">
        <v>49145628.850000001</v>
      </c>
      <c r="H11" s="842">
        <f t="shared" si="0"/>
        <v>0.10318195529197081</v>
      </c>
    </row>
    <row r="12" spans="1:8" x14ac:dyDescent="0.2">
      <c r="A12" s="843" t="s">
        <v>1874</v>
      </c>
      <c r="B12" s="275" t="s">
        <v>1435</v>
      </c>
      <c r="C12" s="844">
        <v>10289636168.790001</v>
      </c>
      <c r="D12" s="844">
        <v>348787340.74000001</v>
      </c>
      <c r="E12" s="844">
        <f t="shared" si="1"/>
        <v>10638423509.530001</v>
      </c>
      <c r="F12" s="844">
        <v>4660160508.6499996</v>
      </c>
      <c r="G12" s="844">
        <v>5978263000.8800001</v>
      </c>
      <c r="H12" s="842">
        <f t="shared" si="0"/>
        <v>0.43804991448924585</v>
      </c>
    </row>
    <row r="13" spans="1:8" x14ac:dyDescent="0.2">
      <c r="A13" s="843" t="s">
        <v>1875</v>
      </c>
      <c r="B13" s="275" t="s">
        <v>1435</v>
      </c>
      <c r="C13" s="844">
        <v>9774096168.7900009</v>
      </c>
      <c r="D13" s="844">
        <v>354342340.74000001</v>
      </c>
      <c r="E13" s="844">
        <f t="shared" si="1"/>
        <v>10128438509.530001</v>
      </c>
      <c r="F13" s="844">
        <v>4477042747.6999998</v>
      </c>
      <c r="G13" s="844">
        <v>5651395761.8299999</v>
      </c>
      <c r="H13" s="842">
        <f t="shared" si="0"/>
        <v>0.44202694655128555</v>
      </c>
    </row>
    <row r="14" spans="1:8" x14ac:dyDescent="0.2">
      <c r="A14" s="843" t="s">
        <v>1876</v>
      </c>
      <c r="B14" s="275" t="s">
        <v>1436</v>
      </c>
      <c r="C14" s="844">
        <v>455540000</v>
      </c>
      <c r="D14" s="844">
        <v>4445000</v>
      </c>
      <c r="E14" s="844">
        <f t="shared" si="1"/>
        <v>459985000</v>
      </c>
      <c r="F14" s="844">
        <v>169761188.5</v>
      </c>
      <c r="G14" s="844">
        <v>290223811.5</v>
      </c>
      <c r="H14" s="842">
        <f t="shared" si="0"/>
        <v>0.36905809645966714</v>
      </c>
    </row>
    <row r="15" spans="1:8" x14ac:dyDescent="0.2">
      <c r="A15" s="843" t="s">
        <v>2534</v>
      </c>
      <c r="B15" s="275" t="s">
        <v>2535</v>
      </c>
      <c r="C15" s="844">
        <v>60000000</v>
      </c>
      <c r="D15" s="844">
        <v>-10000000</v>
      </c>
      <c r="E15" s="844">
        <f t="shared" si="1"/>
        <v>50000000</v>
      </c>
      <c r="F15" s="844">
        <v>13356572.449999999</v>
      </c>
      <c r="G15" s="844">
        <v>36643427.549999997</v>
      </c>
      <c r="H15" s="842">
        <f t="shared" si="0"/>
        <v>0.26713144899999997</v>
      </c>
    </row>
    <row r="16" spans="1:8" x14ac:dyDescent="0.2">
      <c r="A16" s="843" t="s">
        <v>1877</v>
      </c>
      <c r="B16" s="275" t="s">
        <v>3197</v>
      </c>
      <c r="C16" s="844">
        <v>9500000</v>
      </c>
      <c r="D16" s="844">
        <v>3000000</v>
      </c>
      <c r="E16" s="844">
        <f t="shared" si="1"/>
        <v>12500000</v>
      </c>
      <c r="F16" s="844">
        <v>6883336</v>
      </c>
      <c r="G16" s="844">
        <v>5616664</v>
      </c>
      <c r="H16" s="842">
        <f t="shared" si="0"/>
        <v>0.55066687999999997</v>
      </c>
    </row>
    <row r="17" spans="1:8" x14ac:dyDescent="0.2">
      <c r="A17" s="843" t="s">
        <v>1878</v>
      </c>
      <c r="B17" s="275" t="s">
        <v>3197</v>
      </c>
      <c r="C17" s="844">
        <v>9500000</v>
      </c>
      <c r="D17" s="844">
        <v>3000000</v>
      </c>
      <c r="E17" s="844">
        <f t="shared" si="1"/>
        <v>12500000</v>
      </c>
      <c r="F17" s="844">
        <v>6883336</v>
      </c>
      <c r="G17" s="844">
        <v>5616664</v>
      </c>
      <c r="H17" s="842">
        <f t="shared" si="0"/>
        <v>0.55066687999999997</v>
      </c>
    </row>
    <row r="18" spans="1:8" x14ac:dyDescent="0.2">
      <c r="A18" s="843" t="s">
        <v>1879</v>
      </c>
      <c r="B18" s="275" t="s">
        <v>246</v>
      </c>
      <c r="C18" s="844">
        <v>342000000</v>
      </c>
      <c r="D18" s="844">
        <v>0</v>
      </c>
      <c r="E18" s="844">
        <f t="shared" si="1"/>
        <v>342000000</v>
      </c>
      <c r="F18" s="844">
        <v>164893233.65000001</v>
      </c>
      <c r="G18" s="844">
        <v>177106766.34999999</v>
      </c>
      <c r="H18" s="842">
        <f t="shared" si="0"/>
        <v>0.48214395804093568</v>
      </c>
    </row>
    <row r="19" spans="1:8" x14ac:dyDescent="0.2">
      <c r="A19" s="843" t="s">
        <v>1880</v>
      </c>
      <c r="B19" s="275" t="s">
        <v>246</v>
      </c>
      <c r="C19" s="844">
        <v>342000000</v>
      </c>
      <c r="D19" s="844">
        <v>0</v>
      </c>
      <c r="E19" s="844">
        <f t="shared" si="1"/>
        <v>342000000</v>
      </c>
      <c r="F19" s="844">
        <v>164893233.65000001</v>
      </c>
      <c r="G19" s="844">
        <v>177106766.34999999</v>
      </c>
      <c r="H19" s="842">
        <f t="shared" si="0"/>
        <v>0.48214395804093568</v>
      </c>
    </row>
    <row r="20" spans="1:8" x14ac:dyDescent="0.2">
      <c r="A20" s="843" t="s">
        <v>1881</v>
      </c>
      <c r="B20" s="275" t="s">
        <v>247</v>
      </c>
      <c r="C20" s="844">
        <v>2491539445.4400001</v>
      </c>
      <c r="D20" s="844">
        <v>53972691.609999999</v>
      </c>
      <c r="E20" s="844">
        <f t="shared" si="1"/>
        <v>2545512137.0500002</v>
      </c>
      <c r="F20" s="844">
        <v>1251828240.6500001</v>
      </c>
      <c r="G20" s="844">
        <v>1293683896.4000001</v>
      </c>
      <c r="H20" s="842">
        <f t="shared" si="0"/>
        <v>0.49177853934758553</v>
      </c>
    </row>
    <row r="21" spans="1:8" x14ac:dyDescent="0.2">
      <c r="A21" s="843" t="s">
        <v>1882</v>
      </c>
      <c r="B21" s="275" t="s">
        <v>248</v>
      </c>
      <c r="C21" s="844">
        <v>750205424.92999995</v>
      </c>
      <c r="D21" s="844">
        <v>14064699.609999999</v>
      </c>
      <c r="E21" s="844">
        <f t="shared" si="1"/>
        <v>764270124.53999996</v>
      </c>
      <c r="F21" s="844">
        <v>374460888.10000002</v>
      </c>
      <c r="G21" s="844">
        <v>389809236.44</v>
      </c>
      <c r="H21" s="842">
        <f t="shared" si="0"/>
        <v>0.48995881963249721</v>
      </c>
    </row>
    <row r="22" spans="1:8" x14ac:dyDescent="0.2">
      <c r="A22" s="843" t="s">
        <v>1883</v>
      </c>
      <c r="B22" s="275" t="s">
        <v>248</v>
      </c>
      <c r="C22" s="844">
        <v>750205424.92999995</v>
      </c>
      <c r="D22" s="844">
        <v>14064699.609999999</v>
      </c>
      <c r="E22" s="844">
        <f t="shared" si="1"/>
        <v>764270124.53999996</v>
      </c>
      <c r="F22" s="844">
        <v>374460888.10000002</v>
      </c>
      <c r="G22" s="844">
        <v>389809236.44</v>
      </c>
      <c r="H22" s="842">
        <f t="shared" si="0"/>
        <v>0.48995881963249721</v>
      </c>
    </row>
    <row r="23" spans="1:8" x14ac:dyDescent="0.2">
      <c r="A23" s="843" t="s">
        <v>1884</v>
      </c>
      <c r="B23" s="275" t="s">
        <v>249</v>
      </c>
      <c r="C23" s="844">
        <v>1726334020.51</v>
      </c>
      <c r="D23" s="844">
        <v>39907992</v>
      </c>
      <c r="E23" s="844">
        <f t="shared" si="1"/>
        <v>1766242012.51</v>
      </c>
      <c r="F23" s="844">
        <v>872473377.85000002</v>
      </c>
      <c r="G23" s="844">
        <v>893768634.65999997</v>
      </c>
      <c r="H23" s="842">
        <f t="shared" si="0"/>
        <v>0.49397159147524261</v>
      </c>
    </row>
    <row r="24" spans="1:8" x14ac:dyDescent="0.2">
      <c r="A24" s="843" t="s">
        <v>1885</v>
      </c>
      <c r="B24" s="275" t="s">
        <v>249</v>
      </c>
      <c r="C24" s="844">
        <v>1726334020.51</v>
      </c>
      <c r="D24" s="844">
        <v>39907992</v>
      </c>
      <c r="E24" s="844">
        <f t="shared" si="1"/>
        <v>1766242012.51</v>
      </c>
      <c r="F24" s="844">
        <v>872473377.85000002</v>
      </c>
      <c r="G24" s="844">
        <v>893768634.65999997</v>
      </c>
      <c r="H24" s="842">
        <f t="shared" si="0"/>
        <v>0.49397159147524261</v>
      </c>
    </row>
    <row r="25" spans="1:8" x14ac:dyDescent="0.2">
      <c r="A25" s="843" t="s">
        <v>1886</v>
      </c>
      <c r="B25" s="275" t="s">
        <v>1434</v>
      </c>
      <c r="C25" s="844">
        <v>15000000</v>
      </c>
      <c r="D25" s="844">
        <v>0</v>
      </c>
      <c r="E25" s="844">
        <f t="shared" si="1"/>
        <v>15000000</v>
      </c>
      <c r="F25" s="844">
        <v>4893974.7</v>
      </c>
      <c r="G25" s="844">
        <v>10106025.300000001</v>
      </c>
      <c r="H25" s="842">
        <f t="shared" si="0"/>
        <v>0.32626498000000004</v>
      </c>
    </row>
    <row r="26" spans="1:8" x14ac:dyDescent="0.2">
      <c r="A26" s="843" t="s">
        <v>1887</v>
      </c>
      <c r="B26" s="275" t="s">
        <v>1434</v>
      </c>
      <c r="C26" s="844">
        <v>15000000</v>
      </c>
      <c r="D26" s="844">
        <v>0</v>
      </c>
      <c r="E26" s="844">
        <f t="shared" si="1"/>
        <v>15000000</v>
      </c>
      <c r="F26" s="844">
        <v>4893974.7</v>
      </c>
      <c r="G26" s="844">
        <v>10106025.300000001</v>
      </c>
      <c r="H26" s="842">
        <f t="shared" si="0"/>
        <v>0.32626498000000004</v>
      </c>
    </row>
    <row r="27" spans="1:8" x14ac:dyDescent="0.2">
      <c r="A27" s="843" t="s">
        <v>1888</v>
      </c>
      <c r="B27" s="275" t="s">
        <v>250</v>
      </c>
      <c r="C27" s="844">
        <v>99927608196.759995</v>
      </c>
      <c r="D27" s="844">
        <v>2015757369.3099999</v>
      </c>
      <c r="E27" s="844">
        <f t="shared" si="1"/>
        <v>101943365566.06999</v>
      </c>
      <c r="F27" s="844">
        <v>55171547404.279999</v>
      </c>
      <c r="G27" s="844">
        <f>E27-F27</f>
        <v>46771818161.789993</v>
      </c>
      <c r="H27" s="842">
        <f t="shared" si="0"/>
        <v>0.5411980181145094</v>
      </c>
    </row>
    <row r="28" spans="1:8" x14ac:dyDescent="0.2">
      <c r="A28" s="843" t="s">
        <v>1889</v>
      </c>
      <c r="B28" s="275" t="s">
        <v>3198</v>
      </c>
      <c r="C28" s="844">
        <v>58672200301.389999</v>
      </c>
      <c r="D28" s="844">
        <v>1334953121.96</v>
      </c>
      <c r="E28" s="844">
        <f t="shared" si="1"/>
        <v>60007153423.349998</v>
      </c>
      <c r="F28" s="844">
        <v>29364943836.869999</v>
      </c>
      <c r="G28" s="844">
        <v>30642209586.48</v>
      </c>
      <c r="H28" s="842">
        <f t="shared" si="0"/>
        <v>0.48935738760511682</v>
      </c>
    </row>
    <row r="29" spans="1:8" x14ac:dyDescent="0.2">
      <c r="A29" s="843" t="s">
        <v>1890</v>
      </c>
      <c r="B29" s="275" t="s">
        <v>3199</v>
      </c>
      <c r="C29" s="844">
        <v>12765515535.969999</v>
      </c>
      <c r="D29" s="844">
        <v>291967128.74000001</v>
      </c>
      <c r="E29" s="844">
        <f t="shared" si="1"/>
        <v>13057482664.709999</v>
      </c>
      <c r="F29" s="844">
        <v>6377398342.4899998</v>
      </c>
      <c r="G29" s="844">
        <v>6680084322.2200003</v>
      </c>
      <c r="H29" s="842">
        <f t="shared" si="0"/>
        <v>0.48840948184644895</v>
      </c>
    </row>
    <row r="30" spans="1:8" x14ac:dyDescent="0.2">
      <c r="A30" s="843" t="s">
        <v>1891</v>
      </c>
      <c r="B30" s="275" t="s">
        <v>1429</v>
      </c>
      <c r="C30" s="844">
        <v>45906684765.419998</v>
      </c>
      <c r="D30" s="844">
        <v>1042985993.22</v>
      </c>
      <c r="E30" s="844">
        <f t="shared" si="1"/>
        <v>46949670758.639999</v>
      </c>
      <c r="F30" s="844">
        <v>22987545494.380001</v>
      </c>
      <c r="G30" s="844">
        <v>23962125264.259998</v>
      </c>
      <c r="H30" s="842">
        <f t="shared" si="0"/>
        <v>0.48962101592905583</v>
      </c>
    </row>
    <row r="31" spans="1:8" x14ac:dyDescent="0.2">
      <c r="A31" s="843" t="s">
        <v>1892</v>
      </c>
      <c r="B31" s="275" t="s">
        <v>3200</v>
      </c>
      <c r="C31" s="844">
        <v>249683160</v>
      </c>
      <c r="D31" s="844">
        <v>0</v>
      </c>
      <c r="E31" s="844">
        <f t="shared" si="1"/>
        <v>249683160</v>
      </c>
      <c r="F31" s="844">
        <v>115187770.5</v>
      </c>
      <c r="G31" s="844">
        <v>134495389.5</v>
      </c>
      <c r="H31" s="842">
        <f t="shared" si="0"/>
        <v>0.46133576048941388</v>
      </c>
    </row>
    <row r="32" spans="1:8" x14ac:dyDescent="0.2">
      <c r="A32" s="843" t="s">
        <v>1893</v>
      </c>
      <c r="B32" s="275" t="s">
        <v>3200</v>
      </c>
      <c r="C32" s="844">
        <v>249683160</v>
      </c>
      <c r="D32" s="844">
        <v>0</v>
      </c>
      <c r="E32" s="844">
        <f t="shared" si="1"/>
        <v>249683160</v>
      </c>
      <c r="F32" s="844">
        <v>115187770.5</v>
      </c>
      <c r="G32" s="844">
        <v>134495389.5</v>
      </c>
      <c r="H32" s="842">
        <f t="shared" si="0"/>
        <v>0.46133576048941388</v>
      </c>
    </row>
    <row r="33" spans="1:8" x14ac:dyDescent="0.2">
      <c r="A33" s="843" t="s">
        <v>1894</v>
      </c>
      <c r="B33" s="275" t="s">
        <v>3201</v>
      </c>
      <c r="C33" s="844">
        <v>12335094652.92</v>
      </c>
      <c r="D33" s="844">
        <v>269130167.79000002</v>
      </c>
      <c r="E33" s="844">
        <f t="shared" si="1"/>
        <v>12604224820.710001</v>
      </c>
      <c r="F33" s="844">
        <v>6400375241.46</v>
      </c>
      <c r="G33" s="844">
        <v>6203849579.25</v>
      </c>
      <c r="H33" s="842">
        <f t="shared" si="0"/>
        <v>0.50779602335746532</v>
      </c>
    </row>
    <row r="34" spans="1:8" x14ac:dyDescent="0.2">
      <c r="A34" s="843" t="s">
        <v>1895</v>
      </c>
      <c r="B34" s="275" t="s">
        <v>3201</v>
      </c>
      <c r="C34" s="844">
        <v>12335094652.92</v>
      </c>
      <c r="D34" s="844">
        <v>269130167.79000002</v>
      </c>
      <c r="E34" s="844">
        <f t="shared" si="1"/>
        <v>12604224820.710001</v>
      </c>
      <c r="F34" s="844">
        <v>6400375241.46</v>
      </c>
      <c r="G34" s="844">
        <v>6203849579.25</v>
      </c>
      <c r="H34" s="842">
        <f t="shared" si="0"/>
        <v>0.50779602335746532</v>
      </c>
    </row>
    <row r="35" spans="1:8" x14ac:dyDescent="0.2">
      <c r="A35" s="843" t="s">
        <v>1896</v>
      </c>
      <c r="B35" s="275" t="s">
        <v>331</v>
      </c>
      <c r="C35" s="844">
        <v>10677582235.34</v>
      </c>
      <c r="D35" s="844">
        <v>28112649.190000001</v>
      </c>
      <c r="E35" s="844">
        <f t="shared" si="1"/>
        <v>10705694884.530001</v>
      </c>
      <c r="F35" s="844">
        <v>10487375118.15</v>
      </c>
      <c r="G35" s="844">
        <v>218319766.38</v>
      </c>
      <c r="H35" s="842">
        <f t="shared" si="0"/>
        <v>0.97960713725407222</v>
      </c>
    </row>
    <row r="36" spans="1:8" x14ac:dyDescent="0.2">
      <c r="A36" s="843" t="s">
        <v>1897</v>
      </c>
      <c r="B36" s="275" t="s">
        <v>331</v>
      </c>
      <c r="C36" s="844">
        <v>10677582235.34</v>
      </c>
      <c r="D36" s="844">
        <v>28112649.190000001</v>
      </c>
      <c r="E36" s="844">
        <f t="shared" si="1"/>
        <v>10705694884.530001</v>
      </c>
      <c r="F36" s="844">
        <v>10487375118.15</v>
      </c>
      <c r="G36" s="844">
        <v>218319766.38</v>
      </c>
      <c r="H36" s="842">
        <f t="shared" si="0"/>
        <v>0.97960713725407222</v>
      </c>
    </row>
    <row r="37" spans="1:8" x14ac:dyDescent="0.2">
      <c r="A37" s="843" t="s">
        <v>1898</v>
      </c>
      <c r="B37" s="275" t="s">
        <v>332</v>
      </c>
      <c r="C37" s="844">
        <v>17993047847.110001</v>
      </c>
      <c r="D37" s="844">
        <v>383561430.37</v>
      </c>
      <c r="E37" s="844">
        <f t="shared" si="1"/>
        <v>18376609277.48</v>
      </c>
      <c r="F37" s="844">
        <v>8803665437.2999992</v>
      </c>
      <c r="G37" s="844">
        <v>9572943840.1800003</v>
      </c>
      <c r="H37" s="842">
        <f t="shared" si="0"/>
        <v>0.47906908746700272</v>
      </c>
    </row>
    <row r="38" spans="1:8" x14ac:dyDescent="0.2">
      <c r="A38" s="843" t="s">
        <v>1899</v>
      </c>
      <c r="B38" s="275" t="s">
        <v>3202</v>
      </c>
      <c r="C38" s="844">
        <v>9963734151.4799995</v>
      </c>
      <c r="D38" s="844">
        <v>224121696</v>
      </c>
      <c r="E38" s="844">
        <f t="shared" si="1"/>
        <v>10187855847.48</v>
      </c>
      <c r="F38" s="844">
        <v>4906310646.8500004</v>
      </c>
      <c r="G38" s="844">
        <v>5281545200.6300001</v>
      </c>
      <c r="H38" s="842">
        <f t="shared" si="0"/>
        <v>0.48158422344222634</v>
      </c>
    </row>
    <row r="39" spans="1:8" x14ac:dyDescent="0.2">
      <c r="A39" s="843" t="s">
        <v>1900</v>
      </c>
      <c r="B39" s="275" t="s">
        <v>3203</v>
      </c>
      <c r="C39" s="844">
        <v>7056383695.6300001</v>
      </c>
      <c r="D39" s="844">
        <v>159439734.37</v>
      </c>
      <c r="E39" s="844">
        <f t="shared" si="1"/>
        <v>7215823430</v>
      </c>
      <c r="F39" s="844">
        <v>3457183979.75</v>
      </c>
      <c r="G39" s="844">
        <v>3758639450.25</v>
      </c>
      <c r="H39" s="842">
        <f t="shared" si="0"/>
        <v>0.47911149895612121</v>
      </c>
    </row>
    <row r="40" spans="1:8" x14ac:dyDescent="0.2">
      <c r="A40" s="843" t="s">
        <v>1901</v>
      </c>
      <c r="B40" s="275" t="s">
        <v>1558</v>
      </c>
      <c r="C40" s="844">
        <v>31930000</v>
      </c>
      <c r="D40" s="844">
        <v>0</v>
      </c>
      <c r="E40" s="844">
        <f t="shared" si="1"/>
        <v>31930000</v>
      </c>
      <c r="F40" s="844">
        <v>0</v>
      </c>
      <c r="G40" s="844">
        <v>31930000</v>
      </c>
      <c r="H40" s="842">
        <f t="shared" si="0"/>
        <v>0</v>
      </c>
    </row>
    <row r="41" spans="1:8" x14ac:dyDescent="0.2">
      <c r="A41" s="843" t="s">
        <v>1902</v>
      </c>
      <c r="B41" s="275" t="s">
        <v>1433</v>
      </c>
      <c r="C41" s="844">
        <v>725000000</v>
      </c>
      <c r="D41" s="844">
        <v>0</v>
      </c>
      <c r="E41" s="844">
        <f t="shared" si="1"/>
        <v>725000000</v>
      </c>
      <c r="F41" s="844">
        <v>338888599.25</v>
      </c>
      <c r="G41" s="844">
        <v>386111400.75</v>
      </c>
      <c r="H41" s="842">
        <f t="shared" si="0"/>
        <v>0.46743255068965517</v>
      </c>
    </row>
    <row r="42" spans="1:8" x14ac:dyDescent="0.2">
      <c r="A42" s="843" t="s">
        <v>1903</v>
      </c>
      <c r="B42" s="275" t="s">
        <v>237</v>
      </c>
      <c r="C42" s="844">
        <v>216000000</v>
      </c>
      <c r="D42" s="844">
        <v>0</v>
      </c>
      <c r="E42" s="844">
        <f t="shared" si="1"/>
        <v>216000000</v>
      </c>
      <c r="F42" s="844">
        <v>101282211.45</v>
      </c>
      <c r="G42" s="844">
        <v>114717788.55</v>
      </c>
      <c r="H42" s="842">
        <f t="shared" si="0"/>
        <v>0.46889912708333337</v>
      </c>
    </row>
    <row r="43" spans="1:8" x14ac:dyDescent="0.2">
      <c r="A43" s="843" t="s">
        <v>1904</v>
      </c>
      <c r="B43" s="275" t="s">
        <v>3204</v>
      </c>
      <c r="C43" s="844">
        <v>14432638049.379999</v>
      </c>
      <c r="D43" s="844">
        <v>314894891.97000003</v>
      </c>
      <c r="E43" s="844">
        <f t="shared" si="1"/>
        <v>14747532941.349998</v>
      </c>
      <c r="F43" s="844">
        <v>7510559604.5900002</v>
      </c>
      <c r="G43" s="844">
        <v>7236973336.7600002</v>
      </c>
      <c r="H43" s="842">
        <f t="shared" si="0"/>
        <v>0.50927566220458831</v>
      </c>
    </row>
    <row r="44" spans="1:8" x14ac:dyDescent="0.2">
      <c r="A44" s="843" t="s">
        <v>1905</v>
      </c>
      <c r="B44" s="275" t="s">
        <v>3205</v>
      </c>
      <c r="C44" s="844">
        <v>13692502764.870001</v>
      </c>
      <c r="D44" s="844">
        <v>298746435.88</v>
      </c>
      <c r="E44" s="844">
        <f t="shared" si="1"/>
        <v>13991249200.75</v>
      </c>
      <c r="F44" s="844">
        <v>7125730260.7399998</v>
      </c>
      <c r="G44" s="844">
        <v>6865518940.0100002</v>
      </c>
      <c r="H44" s="842">
        <f t="shared" si="0"/>
        <v>0.50929907390671203</v>
      </c>
    </row>
    <row r="45" spans="1:8" x14ac:dyDescent="0.2">
      <c r="A45" s="843" t="s">
        <v>1906</v>
      </c>
      <c r="B45" s="275" t="s">
        <v>3205</v>
      </c>
      <c r="C45" s="844">
        <v>13692502764.870001</v>
      </c>
      <c r="D45" s="844">
        <v>298746435.88</v>
      </c>
      <c r="E45" s="844">
        <f t="shared" si="1"/>
        <v>13991249200.75</v>
      </c>
      <c r="F45" s="844">
        <v>7125730260.7399998</v>
      </c>
      <c r="G45" s="844">
        <v>6865518940.0100002</v>
      </c>
      <c r="H45" s="842">
        <f t="shared" si="0"/>
        <v>0.50929907390671203</v>
      </c>
    </row>
    <row r="46" spans="1:8" x14ac:dyDescent="0.2">
      <c r="A46" s="843" t="s">
        <v>1907</v>
      </c>
      <c r="B46" s="275" t="s">
        <v>3206</v>
      </c>
      <c r="C46" s="844">
        <v>740135284.50999999</v>
      </c>
      <c r="D46" s="844">
        <v>16148456.09</v>
      </c>
      <c r="E46" s="844">
        <f t="shared" si="1"/>
        <v>756283740.60000002</v>
      </c>
      <c r="F46" s="844">
        <v>384829343.85000002</v>
      </c>
      <c r="G46" s="844">
        <v>371454396.75</v>
      </c>
      <c r="H46" s="842">
        <f t="shared" si="0"/>
        <v>0.50884254571530851</v>
      </c>
    </row>
    <row r="47" spans="1:8" x14ac:dyDescent="0.2">
      <c r="A47" s="843" t="s">
        <v>1908</v>
      </c>
      <c r="B47" s="275" t="s">
        <v>3206</v>
      </c>
      <c r="C47" s="844">
        <v>740135284.50999999</v>
      </c>
      <c r="D47" s="844">
        <v>16148456.09</v>
      </c>
      <c r="E47" s="844">
        <f t="shared" si="1"/>
        <v>756283740.60000002</v>
      </c>
      <c r="F47" s="844">
        <v>384829343.85000002</v>
      </c>
      <c r="G47" s="844">
        <v>371454396.75</v>
      </c>
      <c r="H47" s="842">
        <f t="shared" si="0"/>
        <v>0.50884254571530851</v>
      </c>
    </row>
    <row r="48" spans="1:8" x14ac:dyDescent="0.2">
      <c r="A48" s="843" t="s">
        <v>1909</v>
      </c>
      <c r="B48" s="275" t="s">
        <v>3207</v>
      </c>
      <c r="C48" s="844">
        <v>18873449757</v>
      </c>
      <c r="D48" s="844">
        <v>411786077.91000003</v>
      </c>
      <c r="E48" s="844">
        <f t="shared" si="1"/>
        <v>19285235834.91</v>
      </c>
      <c r="F48" s="844">
        <v>9639375833.2399998</v>
      </c>
      <c r="G48" s="844">
        <v>9645860001.6700001</v>
      </c>
      <c r="H48" s="842">
        <f t="shared" si="0"/>
        <v>0.49983188775896992</v>
      </c>
    </row>
    <row r="49" spans="1:8" x14ac:dyDescent="0.2">
      <c r="A49" s="843" t="s">
        <v>1910</v>
      </c>
      <c r="B49" s="275" t="s">
        <v>3208</v>
      </c>
      <c r="C49" s="844">
        <v>4440811707.5600004</v>
      </c>
      <c r="D49" s="844">
        <v>96891185.989999995</v>
      </c>
      <c r="E49" s="844">
        <f t="shared" si="1"/>
        <v>4537702893.5500002</v>
      </c>
      <c r="F49" s="844">
        <v>2184855402.0900002</v>
      </c>
      <c r="G49" s="844">
        <v>2352847491.46</v>
      </c>
      <c r="H49" s="842">
        <f t="shared" si="0"/>
        <v>0.48148930270327001</v>
      </c>
    </row>
    <row r="50" spans="1:8" x14ac:dyDescent="0.2">
      <c r="A50" s="843" t="s">
        <v>1911</v>
      </c>
      <c r="B50" s="275" t="s">
        <v>3208</v>
      </c>
      <c r="C50" s="844">
        <v>4440811707.5600004</v>
      </c>
      <c r="D50" s="844">
        <v>96891185.989999995</v>
      </c>
      <c r="E50" s="844">
        <f t="shared" si="1"/>
        <v>4537702893.5500002</v>
      </c>
      <c r="F50" s="844">
        <v>2184855402.0900002</v>
      </c>
      <c r="G50" s="844">
        <v>2352847491.46</v>
      </c>
      <c r="H50" s="842">
        <f t="shared" si="0"/>
        <v>0.48148930270327001</v>
      </c>
    </row>
    <row r="51" spans="1:8" x14ac:dyDescent="0.2">
      <c r="A51" s="843" t="s">
        <v>1912</v>
      </c>
      <c r="B51" s="275" t="s">
        <v>1913</v>
      </c>
      <c r="C51" s="844">
        <v>2220405853.6700001</v>
      </c>
      <c r="D51" s="844">
        <v>48445367.920000002</v>
      </c>
      <c r="E51" s="844">
        <f t="shared" si="1"/>
        <v>2268851221.5900002</v>
      </c>
      <c r="F51" s="844">
        <v>1153029535.1099999</v>
      </c>
      <c r="G51" s="844">
        <v>1115821686.48</v>
      </c>
      <c r="H51" s="842">
        <f t="shared" si="0"/>
        <v>0.50819971099822148</v>
      </c>
    </row>
    <row r="52" spans="1:8" x14ac:dyDescent="0.2">
      <c r="A52" s="843" t="s">
        <v>1914</v>
      </c>
      <c r="B52" s="275" t="s">
        <v>1913</v>
      </c>
      <c r="C52" s="844">
        <v>2220405853.6700001</v>
      </c>
      <c r="D52" s="844">
        <v>48445367.920000002</v>
      </c>
      <c r="E52" s="844">
        <f t="shared" si="1"/>
        <v>2268851221.5900002</v>
      </c>
      <c r="F52" s="844">
        <v>1153029535.1099999</v>
      </c>
      <c r="G52" s="844">
        <v>1115821686.48</v>
      </c>
      <c r="H52" s="842">
        <f t="shared" si="0"/>
        <v>0.50819971099822148</v>
      </c>
    </row>
    <row r="53" spans="1:8" x14ac:dyDescent="0.2">
      <c r="A53" s="843" t="s">
        <v>1915</v>
      </c>
      <c r="B53" s="275" t="s">
        <v>3209</v>
      </c>
      <c r="C53" s="844">
        <v>4440811707.5600004</v>
      </c>
      <c r="D53" s="844">
        <v>96890735.989999995</v>
      </c>
      <c r="E53" s="844">
        <f t="shared" si="1"/>
        <v>4537702443.5500002</v>
      </c>
      <c r="F53" s="844">
        <v>2305996767.8299999</v>
      </c>
      <c r="G53" s="844">
        <v>2231705675.7199998</v>
      </c>
      <c r="H53" s="842">
        <f t="shared" si="0"/>
        <v>0.50818598101508383</v>
      </c>
    </row>
    <row r="54" spans="1:8" x14ac:dyDescent="0.2">
      <c r="A54" s="843" t="s">
        <v>1916</v>
      </c>
      <c r="B54" s="275" t="s">
        <v>3210</v>
      </c>
      <c r="C54" s="844">
        <v>4440811707.5600004</v>
      </c>
      <c r="D54" s="844">
        <v>96890735.989999995</v>
      </c>
      <c r="E54" s="844">
        <f t="shared" si="1"/>
        <v>4537702443.5500002</v>
      </c>
      <c r="F54" s="844">
        <v>2305996767.8299999</v>
      </c>
      <c r="G54" s="844">
        <v>2231705675.7199998</v>
      </c>
      <c r="H54" s="842">
        <f t="shared" si="0"/>
        <v>0.50818598101508383</v>
      </c>
    </row>
    <row r="55" spans="1:8" x14ac:dyDescent="0.2">
      <c r="A55" s="843" t="s">
        <v>1917</v>
      </c>
      <c r="B55" s="275" t="s">
        <v>3211</v>
      </c>
      <c r="C55" s="844">
        <v>7771420488.21</v>
      </c>
      <c r="D55" s="844">
        <v>169558788.00999999</v>
      </c>
      <c r="E55" s="844">
        <f t="shared" si="1"/>
        <v>7940979276.2200003</v>
      </c>
      <c r="F55" s="844">
        <v>3995494128.21</v>
      </c>
      <c r="G55" s="844">
        <v>3945485148.0100002</v>
      </c>
      <c r="H55" s="842">
        <f t="shared" si="0"/>
        <v>0.50314879175857796</v>
      </c>
    </row>
    <row r="56" spans="1:8" x14ac:dyDescent="0.2">
      <c r="A56" s="843" t="s">
        <v>1918</v>
      </c>
      <c r="B56" s="275" t="s">
        <v>3212</v>
      </c>
      <c r="C56" s="844">
        <v>4070744065.3299999</v>
      </c>
      <c r="D56" s="844">
        <v>88816507.900000006</v>
      </c>
      <c r="E56" s="844">
        <f t="shared" si="1"/>
        <v>4159560573.23</v>
      </c>
      <c r="F56" s="844">
        <v>2049359996.8599999</v>
      </c>
      <c r="G56" s="844">
        <v>2110200576.3699999</v>
      </c>
      <c r="H56" s="842">
        <f t="shared" si="0"/>
        <v>0.49268665782852683</v>
      </c>
    </row>
    <row r="57" spans="1:8" x14ac:dyDescent="0.2">
      <c r="A57" s="843" t="s">
        <v>1919</v>
      </c>
      <c r="B57" s="275" t="s">
        <v>3213</v>
      </c>
      <c r="C57" s="844">
        <v>3700676422.8800001</v>
      </c>
      <c r="D57" s="844">
        <v>80742280.109999999</v>
      </c>
      <c r="E57" s="844">
        <f t="shared" si="1"/>
        <v>3781418702.9900002</v>
      </c>
      <c r="F57" s="844">
        <v>1946134131.3499999</v>
      </c>
      <c r="G57" s="844">
        <v>1835284571.6400001</v>
      </c>
      <c r="H57" s="842">
        <f t="shared" si="0"/>
        <v>0.51465713908147093</v>
      </c>
    </row>
    <row r="58" spans="1:8" x14ac:dyDescent="0.2">
      <c r="A58" s="843" t="s">
        <v>1920</v>
      </c>
      <c r="B58" s="275" t="s">
        <v>1042</v>
      </c>
      <c r="C58" s="844">
        <v>1749670698.4200001</v>
      </c>
      <c r="D58" s="844">
        <v>-35192393.030000001</v>
      </c>
      <c r="E58" s="844">
        <f t="shared" si="1"/>
        <v>1714478305.3900001</v>
      </c>
      <c r="F58" s="844">
        <v>927866049.91999996</v>
      </c>
      <c r="G58" s="844">
        <v>786612255.47000003</v>
      </c>
      <c r="H58" s="842">
        <f t="shared" si="0"/>
        <v>0.54119439540469083</v>
      </c>
    </row>
    <row r="59" spans="1:8" x14ac:dyDescent="0.2">
      <c r="A59" s="843" t="s">
        <v>1921</v>
      </c>
      <c r="B59" s="275" t="s">
        <v>1431</v>
      </c>
      <c r="C59" s="844">
        <v>1749670698.4200001</v>
      </c>
      <c r="D59" s="844">
        <v>-35192393.030000001</v>
      </c>
      <c r="E59" s="844">
        <f t="shared" si="1"/>
        <v>1714478305.3900001</v>
      </c>
      <c r="F59" s="844">
        <v>927866049.91999996</v>
      </c>
      <c r="G59" s="844">
        <v>786612255.47000003</v>
      </c>
      <c r="H59" s="842">
        <f t="shared" si="0"/>
        <v>0.54119439540469083</v>
      </c>
    </row>
    <row r="60" spans="1:8" x14ac:dyDescent="0.2">
      <c r="A60" s="843" t="s">
        <v>1922</v>
      </c>
      <c r="B60" s="275" t="s">
        <v>1431</v>
      </c>
      <c r="C60" s="844">
        <v>215096623.41999999</v>
      </c>
      <c r="D60" s="844">
        <v>4746568.97</v>
      </c>
      <c r="E60" s="844">
        <f t="shared" si="1"/>
        <v>219843192.38999999</v>
      </c>
      <c r="F60" s="844">
        <v>100694404.3</v>
      </c>
      <c r="G60" s="844">
        <v>119148788.09</v>
      </c>
      <c r="H60" s="842">
        <f t="shared" si="0"/>
        <v>0.45802830283399892</v>
      </c>
    </row>
    <row r="61" spans="1:8" x14ac:dyDescent="0.2">
      <c r="A61" s="843" t="s">
        <v>1923</v>
      </c>
      <c r="B61" s="275" t="s">
        <v>462</v>
      </c>
      <c r="C61" s="844">
        <v>574075</v>
      </c>
      <c r="D61" s="844">
        <v>80000</v>
      </c>
      <c r="E61" s="844">
        <f t="shared" si="1"/>
        <v>654075</v>
      </c>
      <c r="F61" s="844">
        <v>447000</v>
      </c>
      <c r="G61" s="844">
        <v>207075</v>
      </c>
      <c r="H61" s="842">
        <f t="shared" si="0"/>
        <v>0.68340786607040482</v>
      </c>
    </row>
    <row r="62" spans="1:8" x14ac:dyDescent="0.2">
      <c r="A62" s="843" t="s">
        <v>1924</v>
      </c>
      <c r="B62" s="275" t="s">
        <v>3214</v>
      </c>
      <c r="C62" s="844">
        <v>1534000000</v>
      </c>
      <c r="D62" s="844">
        <v>-40018962</v>
      </c>
      <c r="E62" s="844">
        <f t="shared" si="1"/>
        <v>1493981038</v>
      </c>
      <c r="F62" s="844">
        <v>826724645.62</v>
      </c>
      <c r="G62" s="844">
        <v>667256392.38</v>
      </c>
      <c r="H62" s="842">
        <f t="shared" si="0"/>
        <v>0.55337024004450586</v>
      </c>
    </row>
    <row r="63" spans="1:8" x14ac:dyDescent="0.2">
      <c r="A63" s="843"/>
      <c r="B63" s="275"/>
      <c r="C63" s="844"/>
      <c r="D63" s="844"/>
      <c r="E63" s="844"/>
      <c r="F63" s="844"/>
      <c r="G63" s="844"/>
      <c r="H63" s="842"/>
    </row>
    <row r="64" spans="1:8" x14ac:dyDescent="0.2">
      <c r="A64" s="840">
        <v>1</v>
      </c>
      <c r="B64" s="295" t="s">
        <v>17</v>
      </c>
      <c r="C64" s="841">
        <v>26664366044.669998</v>
      </c>
      <c r="D64" s="841">
        <v>1300157376.4200001</v>
      </c>
      <c r="E64" s="841">
        <f t="shared" si="1"/>
        <v>27964523421.089996</v>
      </c>
      <c r="F64" s="841">
        <v>8123705869.4899998</v>
      </c>
      <c r="G64" s="841">
        <v>19840817551.599998</v>
      </c>
      <c r="H64" s="842">
        <f t="shared" si="0"/>
        <v>0.29050042252332275</v>
      </c>
    </row>
    <row r="65" spans="1:8" x14ac:dyDescent="0.2">
      <c r="A65" s="843" t="s">
        <v>1925</v>
      </c>
      <c r="B65" s="275" t="s">
        <v>1437</v>
      </c>
      <c r="C65" s="844">
        <v>578587463.11000001</v>
      </c>
      <c r="D65" s="844">
        <v>99796073.900000006</v>
      </c>
      <c r="E65" s="844">
        <f t="shared" si="1"/>
        <v>678383537.00999999</v>
      </c>
      <c r="F65" s="844">
        <v>324227477.75</v>
      </c>
      <c r="G65" s="844">
        <v>354156059.25999999</v>
      </c>
      <c r="H65" s="842">
        <f t="shared" si="0"/>
        <v>0.47794125308382979</v>
      </c>
    </row>
    <row r="66" spans="1:8" s="232" customFormat="1" x14ac:dyDescent="0.2">
      <c r="A66" s="843" t="s">
        <v>1926</v>
      </c>
      <c r="B66" s="275" t="s">
        <v>977</v>
      </c>
      <c r="C66" s="844">
        <v>405196647.11000001</v>
      </c>
      <c r="D66" s="844">
        <v>71922480.400000006</v>
      </c>
      <c r="E66" s="844">
        <f t="shared" si="1"/>
        <v>477119127.50999999</v>
      </c>
      <c r="F66" s="844">
        <v>246155049.90000001</v>
      </c>
      <c r="G66" s="844">
        <v>230964077.61000001</v>
      </c>
      <c r="H66" s="842">
        <f t="shared" si="0"/>
        <v>0.51591947525692272</v>
      </c>
    </row>
    <row r="67" spans="1:8" s="232" customFormat="1" x14ac:dyDescent="0.2">
      <c r="A67" s="843" t="s">
        <v>1927</v>
      </c>
      <c r="B67" s="275" t="s">
        <v>977</v>
      </c>
      <c r="C67" s="844">
        <v>405196647.11000001</v>
      </c>
      <c r="D67" s="844">
        <v>71922480.400000006</v>
      </c>
      <c r="E67" s="844">
        <f t="shared" si="1"/>
        <v>477119127.50999999</v>
      </c>
      <c r="F67" s="844">
        <v>246155049.90000001</v>
      </c>
      <c r="G67" s="844">
        <v>230964077.61000001</v>
      </c>
      <c r="H67" s="842">
        <f t="shared" si="0"/>
        <v>0.51591947525692272</v>
      </c>
    </row>
    <row r="68" spans="1:8" x14ac:dyDescent="0.2">
      <c r="A68" s="843" t="s">
        <v>1928</v>
      </c>
      <c r="B68" s="275" t="s">
        <v>978</v>
      </c>
      <c r="C68" s="844">
        <v>58626500</v>
      </c>
      <c r="D68" s="844">
        <v>2537210.5</v>
      </c>
      <c r="E68" s="844">
        <f t="shared" si="1"/>
        <v>61163710.5</v>
      </c>
      <c r="F68" s="844">
        <v>5849025.5999999996</v>
      </c>
      <c r="G68" s="844">
        <v>55314684.899999999</v>
      </c>
      <c r="H68" s="842">
        <f t="shared" si="0"/>
        <v>9.562901845204437E-2</v>
      </c>
    </row>
    <row r="69" spans="1:8" x14ac:dyDescent="0.2">
      <c r="A69" s="843" t="s">
        <v>1929</v>
      </c>
      <c r="B69" s="275" t="s">
        <v>3215</v>
      </c>
      <c r="C69" s="844">
        <v>58626500</v>
      </c>
      <c r="D69" s="844">
        <v>2847210.5</v>
      </c>
      <c r="E69" s="844">
        <f t="shared" si="1"/>
        <v>61473710.5</v>
      </c>
      <c r="F69" s="844">
        <v>5830345.5999999996</v>
      </c>
      <c r="G69" s="844">
        <v>55643364.899999999</v>
      </c>
      <c r="H69" s="842">
        <f t="shared" ref="H69:H132" si="2">F69/E69</f>
        <v>9.4842910124971216E-2</v>
      </c>
    </row>
    <row r="70" spans="1:8" x14ac:dyDescent="0.2">
      <c r="A70" s="843" t="s">
        <v>1930</v>
      </c>
      <c r="B70" s="275" t="s">
        <v>463</v>
      </c>
      <c r="C70" s="844">
        <v>0</v>
      </c>
      <c r="D70" s="844">
        <v>-310000</v>
      </c>
      <c r="E70" s="844">
        <f t="shared" ref="E70:E133" si="3">C70+D70</f>
        <v>-310000</v>
      </c>
      <c r="F70" s="844">
        <v>18680</v>
      </c>
      <c r="G70" s="844">
        <v>-328680</v>
      </c>
      <c r="H70" s="842">
        <f t="shared" si="2"/>
        <v>-6.0258064516129035E-2</v>
      </c>
    </row>
    <row r="71" spans="1:8" x14ac:dyDescent="0.2">
      <c r="A71" s="843" t="s">
        <v>1931</v>
      </c>
      <c r="B71" s="275" t="s">
        <v>464</v>
      </c>
      <c r="C71" s="844">
        <v>900000</v>
      </c>
      <c r="D71" s="844">
        <v>0</v>
      </c>
      <c r="E71" s="844">
        <f t="shared" si="3"/>
        <v>900000</v>
      </c>
      <c r="F71" s="844">
        <v>100000</v>
      </c>
      <c r="G71" s="844">
        <v>800000</v>
      </c>
      <c r="H71" s="842">
        <f t="shared" si="2"/>
        <v>0.1111111111111111</v>
      </c>
    </row>
    <row r="72" spans="1:8" x14ac:dyDescent="0.2">
      <c r="A72" s="843" t="s">
        <v>1932</v>
      </c>
      <c r="B72" s="275" t="s">
        <v>3216</v>
      </c>
      <c r="C72" s="844">
        <v>900000</v>
      </c>
      <c r="D72" s="844">
        <v>0</v>
      </c>
      <c r="E72" s="844">
        <f t="shared" si="3"/>
        <v>900000</v>
      </c>
      <c r="F72" s="844">
        <v>100000</v>
      </c>
      <c r="G72" s="844">
        <v>800000</v>
      </c>
      <c r="H72" s="842">
        <f t="shared" si="2"/>
        <v>0.1111111111111111</v>
      </c>
    </row>
    <row r="73" spans="1:8" x14ac:dyDescent="0.2">
      <c r="A73" s="843" t="s">
        <v>1933</v>
      </c>
      <c r="B73" s="275" t="s">
        <v>979</v>
      </c>
      <c r="C73" s="844">
        <v>1000000</v>
      </c>
      <c r="D73" s="844">
        <v>0</v>
      </c>
      <c r="E73" s="844">
        <f t="shared" si="3"/>
        <v>1000000</v>
      </c>
      <c r="F73" s="844">
        <v>0</v>
      </c>
      <c r="G73" s="844">
        <v>1000000</v>
      </c>
      <c r="H73" s="842">
        <f t="shared" si="2"/>
        <v>0</v>
      </c>
    </row>
    <row r="74" spans="1:8" x14ac:dyDescent="0.2">
      <c r="A74" s="843" t="s">
        <v>1934</v>
      </c>
      <c r="B74" s="275" t="s">
        <v>979</v>
      </c>
      <c r="C74" s="844">
        <v>1000000</v>
      </c>
      <c r="D74" s="844">
        <v>0</v>
      </c>
      <c r="E74" s="844">
        <f t="shared" si="3"/>
        <v>1000000</v>
      </c>
      <c r="F74" s="844">
        <v>0</v>
      </c>
      <c r="G74" s="844">
        <v>1000000</v>
      </c>
      <c r="H74" s="842">
        <f t="shared" si="2"/>
        <v>0</v>
      </c>
    </row>
    <row r="75" spans="1:8" x14ac:dyDescent="0.2">
      <c r="A75" s="843" t="s">
        <v>1935</v>
      </c>
      <c r="B75" s="275" t="s">
        <v>980</v>
      </c>
      <c r="C75" s="844">
        <v>112864316</v>
      </c>
      <c r="D75" s="844">
        <v>25336383</v>
      </c>
      <c r="E75" s="844">
        <f t="shared" si="3"/>
        <v>138200699</v>
      </c>
      <c r="F75" s="844">
        <v>72123402.25</v>
      </c>
      <c r="G75" s="844">
        <v>66077296.75</v>
      </c>
      <c r="H75" s="842">
        <f t="shared" si="2"/>
        <v>0.52187436656886954</v>
      </c>
    </row>
    <row r="76" spans="1:8" x14ac:dyDescent="0.2">
      <c r="A76" s="843" t="s">
        <v>1936</v>
      </c>
      <c r="B76" s="275" t="s">
        <v>980</v>
      </c>
      <c r="C76" s="844">
        <v>112864316</v>
      </c>
      <c r="D76" s="844">
        <v>25336383</v>
      </c>
      <c r="E76" s="844">
        <f t="shared" si="3"/>
        <v>138200699</v>
      </c>
      <c r="F76" s="844">
        <v>72123402.25</v>
      </c>
      <c r="G76" s="844">
        <v>66077296.75</v>
      </c>
      <c r="H76" s="842">
        <f t="shared" si="2"/>
        <v>0.52187436656886954</v>
      </c>
    </row>
    <row r="77" spans="1:8" x14ac:dyDescent="0.2">
      <c r="A77" s="843" t="s">
        <v>1937</v>
      </c>
      <c r="B77" s="275" t="s">
        <v>3217</v>
      </c>
      <c r="C77" s="844">
        <v>4855520446</v>
      </c>
      <c r="D77" s="844">
        <v>42157901.899999999</v>
      </c>
      <c r="E77" s="844">
        <f t="shared" si="3"/>
        <v>4897678347.8999996</v>
      </c>
      <c r="F77" s="844">
        <v>1666705370.46</v>
      </c>
      <c r="G77" s="844">
        <v>3230972977.4400001</v>
      </c>
      <c r="H77" s="842">
        <f t="shared" si="2"/>
        <v>0.34030519198441056</v>
      </c>
    </row>
    <row r="78" spans="1:8" x14ac:dyDescent="0.2">
      <c r="A78" s="843" t="s">
        <v>1938</v>
      </c>
      <c r="B78" s="275" t="s">
        <v>981</v>
      </c>
      <c r="C78" s="844">
        <v>1152000000</v>
      </c>
      <c r="D78" s="844">
        <v>0</v>
      </c>
      <c r="E78" s="844">
        <f t="shared" si="3"/>
        <v>1152000000</v>
      </c>
      <c r="F78" s="844">
        <v>423912490.80000001</v>
      </c>
      <c r="G78" s="844">
        <v>728087509.20000005</v>
      </c>
      <c r="H78" s="842">
        <f t="shared" si="2"/>
        <v>0.36797959270833336</v>
      </c>
    </row>
    <row r="79" spans="1:8" x14ac:dyDescent="0.2">
      <c r="A79" s="843" t="s">
        <v>1939</v>
      </c>
      <c r="B79" s="275" t="s">
        <v>981</v>
      </c>
      <c r="C79" s="844">
        <v>1152000000</v>
      </c>
      <c r="D79" s="844">
        <v>0</v>
      </c>
      <c r="E79" s="844">
        <f t="shared" si="3"/>
        <v>1152000000</v>
      </c>
      <c r="F79" s="844">
        <v>423912490.80000001</v>
      </c>
      <c r="G79" s="844">
        <v>728087509.20000005</v>
      </c>
      <c r="H79" s="842">
        <f t="shared" si="2"/>
        <v>0.36797959270833336</v>
      </c>
    </row>
    <row r="80" spans="1:8" x14ac:dyDescent="0.2">
      <c r="A80" s="843" t="s">
        <v>1940</v>
      </c>
      <c r="B80" s="275" t="s">
        <v>3218</v>
      </c>
      <c r="C80" s="844">
        <v>2500000000</v>
      </c>
      <c r="D80" s="844">
        <v>-27637000</v>
      </c>
      <c r="E80" s="844">
        <f t="shared" si="3"/>
        <v>2472363000</v>
      </c>
      <c r="F80" s="844">
        <v>758992760.11000001</v>
      </c>
      <c r="G80" s="844">
        <v>1713370239.8900001</v>
      </c>
      <c r="H80" s="842">
        <f t="shared" si="2"/>
        <v>0.30699082622980528</v>
      </c>
    </row>
    <row r="81" spans="1:8" x14ac:dyDescent="0.2">
      <c r="A81" s="843" t="s">
        <v>1941</v>
      </c>
      <c r="B81" s="275" t="s">
        <v>3218</v>
      </c>
      <c r="C81" s="844">
        <v>2500000000</v>
      </c>
      <c r="D81" s="844">
        <v>-27637000</v>
      </c>
      <c r="E81" s="844">
        <f t="shared" si="3"/>
        <v>2472363000</v>
      </c>
      <c r="F81" s="844">
        <v>758992760.11000001</v>
      </c>
      <c r="G81" s="844">
        <v>1713370239.8900001</v>
      </c>
      <c r="H81" s="842">
        <f t="shared" si="2"/>
        <v>0.30699082622980528</v>
      </c>
    </row>
    <row r="82" spans="1:8" x14ac:dyDescent="0.2">
      <c r="A82" s="843" t="s">
        <v>1942</v>
      </c>
      <c r="B82" s="275" t="s">
        <v>982</v>
      </c>
      <c r="C82" s="844">
        <v>65000000</v>
      </c>
      <c r="D82" s="844">
        <v>28823901.899999999</v>
      </c>
      <c r="E82" s="844">
        <f t="shared" si="3"/>
        <v>93823901.900000006</v>
      </c>
      <c r="F82" s="844">
        <v>44508538.950000003</v>
      </c>
      <c r="G82" s="844">
        <v>49315362.950000003</v>
      </c>
      <c r="H82" s="842">
        <f t="shared" si="2"/>
        <v>0.47438379825045413</v>
      </c>
    </row>
    <row r="83" spans="1:8" x14ac:dyDescent="0.2">
      <c r="A83" s="843" t="s">
        <v>1943</v>
      </c>
      <c r="B83" s="275" t="s">
        <v>982</v>
      </c>
      <c r="C83" s="844">
        <v>65000000</v>
      </c>
      <c r="D83" s="844">
        <v>28823901.899999999</v>
      </c>
      <c r="E83" s="844">
        <f t="shared" si="3"/>
        <v>93823901.900000006</v>
      </c>
      <c r="F83" s="844">
        <v>44508538.950000003</v>
      </c>
      <c r="G83" s="844">
        <v>49315362.950000003</v>
      </c>
      <c r="H83" s="842">
        <f t="shared" si="2"/>
        <v>0.47438379825045413</v>
      </c>
    </row>
    <row r="84" spans="1:8" x14ac:dyDescent="0.2">
      <c r="A84" s="843" t="s">
        <v>1944</v>
      </c>
      <c r="B84" s="275" t="s">
        <v>983</v>
      </c>
      <c r="C84" s="844">
        <v>1100000000</v>
      </c>
      <c r="D84" s="844">
        <v>40621000</v>
      </c>
      <c r="E84" s="844">
        <f t="shared" si="3"/>
        <v>1140621000</v>
      </c>
      <c r="F84" s="844">
        <v>424586540.19999999</v>
      </c>
      <c r="G84" s="844">
        <v>716034459.79999995</v>
      </c>
      <c r="H84" s="842">
        <f t="shared" si="2"/>
        <v>0.37224155981697687</v>
      </c>
    </row>
    <row r="85" spans="1:8" x14ac:dyDescent="0.2">
      <c r="A85" s="843" t="s">
        <v>1945</v>
      </c>
      <c r="B85" s="275" t="s">
        <v>983</v>
      </c>
      <c r="C85" s="844">
        <v>1100000000</v>
      </c>
      <c r="D85" s="844">
        <v>40621000</v>
      </c>
      <c r="E85" s="844">
        <f t="shared" si="3"/>
        <v>1140621000</v>
      </c>
      <c r="F85" s="844">
        <v>424586540.19999999</v>
      </c>
      <c r="G85" s="844">
        <v>716034459.79999995</v>
      </c>
      <c r="H85" s="842">
        <f t="shared" si="2"/>
        <v>0.37224155981697687</v>
      </c>
    </row>
    <row r="86" spans="1:8" x14ac:dyDescent="0.2">
      <c r="A86" s="843" t="s">
        <v>1946</v>
      </c>
      <c r="B86" s="275" t="s">
        <v>3219</v>
      </c>
      <c r="C86" s="844">
        <v>38520446</v>
      </c>
      <c r="D86" s="844">
        <v>350000</v>
      </c>
      <c r="E86" s="844">
        <f t="shared" si="3"/>
        <v>38870446</v>
      </c>
      <c r="F86" s="844">
        <v>14705040.4</v>
      </c>
      <c r="G86" s="844">
        <v>24165405.600000001</v>
      </c>
      <c r="H86" s="842">
        <f t="shared" si="2"/>
        <v>0.37830902171793968</v>
      </c>
    </row>
    <row r="87" spans="1:8" x14ac:dyDescent="0.2">
      <c r="A87" s="843" t="s">
        <v>1947</v>
      </c>
      <c r="B87" s="275" t="s">
        <v>3219</v>
      </c>
      <c r="C87" s="844">
        <v>38520446</v>
      </c>
      <c r="D87" s="844">
        <v>350000</v>
      </c>
      <c r="E87" s="844">
        <f t="shared" si="3"/>
        <v>38870446</v>
      </c>
      <c r="F87" s="844">
        <v>14705040.4</v>
      </c>
      <c r="G87" s="844">
        <v>24165405.600000001</v>
      </c>
      <c r="H87" s="842">
        <f t="shared" si="2"/>
        <v>0.37830902171793968</v>
      </c>
    </row>
    <row r="88" spans="1:8" x14ac:dyDescent="0.2">
      <c r="A88" s="843" t="s">
        <v>1948</v>
      </c>
      <c r="B88" s="275" t="s">
        <v>984</v>
      </c>
      <c r="C88" s="844">
        <v>2445096973.02</v>
      </c>
      <c r="D88" s="844">
        <v>138662586.72999999</v>
      </c>
      <c r="E88" s="844">
        <f t="shared" si="3"/>
        <v>2583759559.75</v>
      </c>
      <c r="F88" s="844">
        <v>1018908486.83</v>
      </c>
      <c r="G88" s="844">
        <v>1564851072.9200001</v>
      </c>
      <c r="H88" s="842">
        <f t="shared" si="2"/>
        <v>0.39435112411488776</v>
      </c>
    </row>
    <row r="89" spans="1:8" x14ac:dyDescent="0.2">
      <c r="A89" s="843" t="s">
        <v>1949</v>
      </c>
      <c r="B89" s="275" t="s">
        <v>3220</v>
      </c>
      <c r="C89" s="844">
        <v>368152120</v>
      </c>
      <c r="D89" s="844">
        <v>8834000</v>
      </c>
      <c r="E89" s="844">
        <f t="shared" si="3"/>
        <v>376986120</v>
      </c>
      <c r="F89" s="844">
        <v>123292336.2</v>
      </c>
      <c r="G89" s="844">
        <v>253693783.80000001</v>
      </c>
      <c r="H89" s="842">
        <f t="shared" si="2"/>
        <v>0.3270474154326955</v>
      </c>
    </row>
    <row r="90" spans="1:8" x14ac:dyDescent="0.2">
      <c r="A90" s="843" t="s">
        <v>1950</v>
      </c>
      <c r="B90" s="275" t="s">
        <v>3220</v>
      </c>
      <c r="C90" s="844">
        <v>368152120</v>
      </c>
      <c r="D90" s="844">
        <v>8834000</v>
      </c>
      <c r="E90" s="844">
        <f t="shared" si="3"/>
        <v>376986120</v>
      </c>
      <c r="F90" s="844">
        <v>123292336.2</v>
      </c>
      <c r="G90" s="844">
        <v>253693783.80000001</v>
      </c>
      <c r="H90" s="842">
        <f t="shared" si="2"/>
        <v>0.3270474154326955</v>
      </c>
    </row>
    <row r="91" spans="1:8" x14ac:dyDescent="0.2">
      <c r="A91" s="843" t="s">
        <v>1951</v>
      </c>
      <c r="B91" s="275" t="s">
        <v>985</v>
      </c>
      <c r="C91" s="844">
        <v>5819890</v>
      </c>
      <c r="D91" s="844">
        <v>-380250</v>
      </c>
      <c r="E91" s="844">
        <f t="shared" si="3"/>
        <v>5439640</v>
      </c>
      <c r="F91" s="844">
        <v>0</v>
      </c>
      <c r="G91" s="844">
        <v>5439640</v>
      </c>
      <c r="H91" s="842">
        <f t="shared" si="2"/>
        <v>0</v>
      </c>
    </row>
    <row r="92" spans="1:8" x14ac:dyDescent="0.2">
      <c r="A92" s="843" t="s">
        <v>1952</v>
      </c>
      <c r="B92" s="275" t="s">
        <v>985</v>
      </c>
      <c r="C92" s="844">
        <v>5819890</v>
      </c>
      <c r="D92" s="844">
        <v>-380250</v>
      </c>
      <c r="E92" s="844">
        <f t="shared" si="3"/>
        <v>5439640</v>
      </c>
      <c r="F92" s="844">
        <v>0</v>
      </c>
      <c r="G92" s="844">
        <v>5439640</v>
      </c>
      <c r="H92" s="842">
        <f t="shared" si="2"/>
        <v>0</v>
      </c>
    </row>
    <row r="93" spans="1:8" x14ac:dyDescent="0.2">
      <c r="A93" s="843" t="s">
        <v>1953</v>
      </c>
      <c r="B93" s="275" t="s">
        <v>3221</v>
      </c>
      <c r="C93" s="844">
        <v>932755849.5</v>
      </c>
      <c r="D93" s="844">
        <v>-24192516.440000001</v>
      </c>
      <c r="E93" s="844">
        <f t="shared" si="3"/>
        <v>908563333.05999994</v>
      </c>
      <c r="F93" s="844">
        <v>373481842.69</v>
      </c>
      <c r="G93" s="844">
        <v>535081490.37</v>
      </c>
      <c r="H93" s="842">
        <f t="shared" si="2"/>
        <v>0.41106858388410872</v>
      </c>
    </row>
    <row r="94" spans="1:8" x14ac:dyDescent="0.2">
      <c r="A94" s="843" t="s">
        <v>1954</v>
      </c>
      <c r="B94" s="275" t="s">
        <v>3221</v>
      </c>
      <c r="C94" s="844">
        <v>932755849.5</v>
      </c>
      <c r="D94" s="844">
        <v>-24192516.440000001</v>
      </c>
      <c r="E94" s="844">
        <f t="shared" si="3"/>
        <v>908563333.05999994</v>
      </c>
      <c r="F94" s="844">
        <v>373481842.69</v>
      </c>
      <c r="G94" s="844">
        <v>535081490.37</v>
      </c>
      <c r="H94" s="842">
        <f t="shared" si="2"/>
        <v>0.41106858388410872</v>
      </c>
    </row>
    <row r="95" spans="1:8" x14ac:dyDescent="0.2">
      <c r="A95" s="843" t="s">
        <v>1955</v>
      </c>
      <c r="B95" s="275" t="s">
        <v>986</v>
      </c>
      <c r="C95" s="844">
        <v>54188281.520000003</v>
      </c>
      <c r="D95" s="844">
        <v>10490127.619999999</v>
      </c>
      <c r="E95" s="844">
        <f t="shared" si="3"/>
        <v>64678409.140000001</v>
      </c>
      <c r="F95" s="844">
        <v>35124030.649999999</v>
      </c>
      <c r="G95" s="844">
        <v>29554378.489999998</v>
      </c>
      <c r="H95" s="842">
        <f t="shared" si="2"/>
        <v>0.54305650242528525</v>
      </c>
    </row>
    <row r="96" spans="1:8" x14ac:dyDescent="0.2">
      <c r="A96" s="843" t="s">
        <v>1956</v>
      </c>
      <c r="B96" s="275" t="s">
        <v>986</v>
      </c>
      <c r="C96" s="844">
        <v>54188281.520000003</v>
      </c>
      <c r="D96" s="844">
        <v>10490127.619999999</v>
      </c>
      <c r="E96" s="844">
        <f t="shared" si="3"/>
        <v>64678409.140000001</v>
      </c>
      <c r="F96" s="844">
        <v>35124030.649999999</v>
      </c>
      <c r="G96" s="844">
        <v>29554378.489999998</v>
      </c>
      <c r="H96" s="842">
        <f t="shared" si="2"/>
        <v>0.54305650242528525</v>
      </c>
    </row>
    <row r="97" spans="1:8" x14ac:dyDescent="0.2">
      <c r="A97" s="843" t="s">
        <v>1957</v>
      </c>
      <c r="B97" s="275" t="s">
        <v>1441</v>
      </c>
      <c r="C97" s="844">
        <v>34200000</v>
      </c>
      <c r="D97" s="844">
        <v>19885705.550000001</v>
      </c>
      <c r="E97" s="844">
        <f t="shared" si="3"/>
        <v>54085705.549999997</v>
      </c>
      <c r="F97" s="844">
        <v>27623560.800000001</v>
      </c>
      <c r="G97" s="844">
        <v>26462144.75</v>
      </c>
      <c r="H97" s="842">
        <f t="shared" si="2"/>
        <v>0.5107368114938089</v>
      </c>
    </row>
    <row r="98" spans="1:8" x14ac:dyDescent="0.2">
      <c r="A98" s="843" t="s">
        <v>1958</v>
      </c>
      <c r="B98" s="275" t="s">
        <v>1441</v>
      </c>
      <c r="C98" s="844">
        <v>34200000</v>
      </c>
      <c r="D98" s="844">
        <v>19885705.550000001</v>
      </c>
      <c r="E98" s="844">
        <f t="shared" si="3"/>
        <v>54085705.549999997</v>
      </c>
      <c r="F98" s="844">
        <v>27623560.800000001</v>
      </c>
      <c r="G98" s="844">
        <v>26462144.75</v>
      </c>
      <c r="H98" s="842">
        <f t="shared" si="2"/>
        <v>0.5107368114938089</v>
      </c>
    </row>
    <row r="99" spans="1:8" x14ac:dyDescent="0.2">
      <c r="A99" s="843" t="s">
        <v>1959</v>
      </c>
      <c r="B99" s="275" t="s">
        <v>987</v>
      </c>
      <c r="C99" s="844">
        <v>1044210832</v>
      </c>
      <c r="D99" s="844">
        <v>1986000</v>
      </c>
      <c r="E99" s="844">
        <f t="shared" si="3"/>
        <v>1046196832</v>
      </c>
      <c r="F99" s="844">
        <v>415553320</v>
      </c>
      <c r="G99" s="844">
        <v>630643512</v>
      </c>
      <c r="H99" s="842">
        <f t="shared" si="2"/>
        <v>0.3972037644250867</v>
      </c>
    </row>
    <row r="100" spans="1:8" x14ac:dyDescent="0.2">
      <c r="A100" s="843" t="s">
        <v>1960</v>
      </c>
      <c r="B100" s="275" t="s">
        <v>987</v>
      </c>
      <c r="C100" s="844">
        <v>1044210832</v>
      </c>
      <c r="D100" s="844">
        <v>1986000</v>
      </c>
      <c r="E100" s="844">
        <f t="shared" si="3"/>
        <v>1046196832</v>
      </c>
      <c r="F100" s="844">
        <v>415553320</v>
      </c>
      <c r="G100" s="844">
        <v>630643512</v>
      </c>
      <c r="H100" s="842">
        <f t="shared" si="2"/>
        <v>0.3972037644250867</v>
      </c>
    </row>
    <row r="101" spans="1:8" x14ac:dyDescent="0.2">
      <c r="A101" s="843" t="s">
        <v>1961</v>
      </c>
      <c r="B101" s="275" t="s">
        <v>3222</v>
      </c>
      <c r="C101" s="844">
        <v>5770000</v>
      </c>
      <c r="D101" s="844">
        <v>122039520</v>
      </c>
      <c r="E101" s="844">
        <f t="shared" si="3"/>
        <v>127809520</v>
      </c>
      <c r="F101" s="844">
        <v>43833396.490000002</v>
      </c>
      <c r="G101" s="844">
        <v>83976123.510000005</v>
      </c>
      <c r="H101" s="842">
        <f t="shared" si="2"/>
        <v>0.3429587756060738</v>
      </c>
    </row>
    <row r="102" spans="1:8" x14ac:dyDescent="0.2">
      <c r="A102" s="843" t="s">
        <v>1962</v>
      </c>
      <c r="B102" s="275" t="s">
        <v>3222</v>
      </c>
      <c r="C102" s="844">
        <v>5770000</v>
      </c>
      <c r="D102" s="844">
        <v>122039520</v>
      </c>
      <c r="E102" s="844">
        <f t="shared" si="3"/>
        <v>127809520</v>
      </c>
      <c r="F102" s="844">
        <v>43833396.490000002</v>
      </c>
      <c r="G102" s="844">
        <v>83976123.510000005</v>
      </c>
      <c r="H102" s="842">
        <f t="shared" si="2"/>
        <v>0.3429587756060738</v>
      </c>
    </row>
    <row r="103" spans="1:8" x14ac:dyDescent="0.2">
      <c r="A103" s="843" t="s">
        <v>1963</v>
      </c>
      <c r="B103" s="275" t="s">
        <v>3223</v>
      </c>
      <c r="C103" s="844">
        <v>4964679721.1999998</v>
      </c>
      <c r="D103" s="844">
        <v>210247093.28</v>
      </c>
      <c r="E103" s="844">
        <f t="shared" si="3"/>
        <v>5174926814.4799995</v>
      </c>
      <c r="F103" s="844">
        <v>1279160345.5799999</v>
      </c>
      <c r="G103" s="844">
        <v>3895766468.9000001</v>
      </c>
      <c r="H103" s="842">
        <f t="shared" si="2"/>
        <v>0.24718423881875434</v>
      </c>
    </row>
    <row r="104" spans="1:8" x14ac:dyDescent="0.2">
      <c r="A104" s="843" t="s">
        <v>1964</v>
      </c>
      <c r="B104" s="275" t="s">
        <v>3224</v>
      </c>
      <c r="C104" s="844">
        <v>210830720</v>
      </c>
      <c r="D104" s="844">
        <v>-988598.31</v>
      </c>
      <c r="E104" s="844">
        <f t="shared" si="3"/>
        <v>209842121.69</v>
      </c>
      <c r="F104" s="844">
        <v>76631134.549999997</v>
      </c>
      <c r="G104" s="844">
        <v>133210987.14</v>
      </c>
      <c r="H104" s="842">
        <f t="shared" si="2"/>
        <v>0.3651847109285678</v>
      </c>
    </row>
    <row r="105" spans="1:8" x14ac:dyDescent="0.2">
      <c r="A105" s="843" t="s">
        <v>1965</v>
      </c>
      <c r="B105" s="275" t="s">
        <v>3224</v>
      </c>
      <c r="C105" s="844">
        <v>210830720</v>
      </c>
      <c r="D105" s="844">
        <v>-988598.31</v>
      </c>
      <c r="E105" s="844">
        <f t="shared" si="3"/>
        <v>209842121.69</v>
      </c>
      <c r="F105" s="844">
        <v>76631134.549999997</v>
      </c>
      <c r="G105" s="844">
        <v>133210987.14</v>
      </c>
      <c r="H105" s="842">
        <f t="shared" si="2"/>
        <v>0.3651847109285678</v>
      </c>
    </row>
    <row r="106" spans="1:8" s="232" customFormat="1" x14ac:dyDescent="0.2">
      <c r="A106" s="843" t="s">
        <v>1966</v>
      </c>
      <c r="B106" s="275" t="s">
        <v>3225</v>
      </c>
      <c r="C106" s="844">
        <v>70000000</v>
      </c>
      <c r="D106" s="844">
        <v>1325000</v>
      </c>
      <c r="E106" s="844">
        <f t="shared" si="3"/>
        <v>71325000</v>
      </c>
      <c r="F106" s="844">
        <v>32817686.949999999</v>
      </c>
      <c r="G106" s="844">
        <v>38507313.049999997</v>
      </c>
      <c r="H106" s="842">
        <f t="shared" si="2"/>
        <v>0.46011478373641779</v>
      </c>
    </row>
    <row r="107" spans="1:8" x14ac:dyDescent="0.2">
      <c r="A107" s="843" t="s">
        <v>1967</v>
      </c>
      <c r="B107" s="275" t="s">
        <v>3225</v>
      </c>
      <c r="C107" s="844">
        <v>70000000</v>
      </c>
      <c r="D107" s="844">
        <v>1325000</v>
      </c>
      <c r="E107" s="844">
        <f t="shared" si="3"/>
        <v>71325000</v>
      </c>
      <c r="F107" s="844">
        <v>32817686.949999999</v>
      </c>
      <c r="G107" s="844">
        <v>38507313.049999997</v>
      </c>
      <c r="H107" s="842">
        <f t="shared" si="2"/>
        <v>0.46011478373641779</v>
      </c>
    </row>
    <row r="108" spans="1:8" x14ac:dyDescent="0.2">
      <c r="A108" s="843" t="s">
        <v>1968</v>
      </c>
      <c r="B108" s="275" t="s">
        <v>3226</v>
      </c>
      <c r="C108" s="844">
        <v>606785000</v>
      </c>
      <c r="D108" s="844">
        <v>692886.01</v>
      </c>
      <c r="E108" s="844">
        <f t="shared" si="3"/>
        <v>607477886.00999999</v>
      </c>
      <c r="F108" s="844">
        <v>108631284.15000001</v>
      </c>
      <c r="G108" s="844">
        <v>498846601.86000001</v>
      </c>
      <c r="H108" s="842">
        <f t="shared" si="2"/>
        <v>0.17882343810653836</v>
      </c>
    </row>
    <row r="109" spans="1:8" x14ac:dyDescent="0.2">
      <c r="A109" s="843" t="s">
        <v>1969</v>
      </c>
      <c r="B109" s="275" t="s">
        <v>3226</v>
      </c>
      <c r="C109" s="844">
        <v>606785000</v>
      </c>
      <c r="D109" s="844">
        <v>692886.01</v>
      </c>
      <c r="E109" s="844">
        <f t="shared" si="3"/>
        <v>607477886.00999999</v>
      </c>
      <c r="F109" s="844">
        <v>108631284.15000001</v>
      </c>
      <c r="G109" s="844">
        <v>498846601.86000001</v>
      </c>
      <c r="H109" s="842">
        <f t="shared" si="2"/>
        <v>0.17882343810653836</v>
      </c>
    </row>
    <row r="110" spans="1:8" x14ac:dyDescent="0.2">
      <c r="A110" s="843" t="s">
        <v>1970</v>
      </c>
      <c r="B110" s="275" t="s">
        <v>3227</v>
      </c>
      <c r="C110" s="844">
        <v>79614804</v>
      </c>
      <c r="D110" s="844">
        <v>108747455</v>
      </c>
      <c r="E110" s="844">
        <f t="shared" si="3"/>
        <v>188362259</v>
      </c>
      <c r="F110" s="844">
        <v>119611615.01000001</v>
      </c>
      <c r="G110" s="844">
        <v>68750643.989999995</v>
      </c>
      <c r="H110" s="842">
        <f t="shared" si="2"/>
        <v>0.63500839098558493</v>
      </c>
    </row>
    <row r="111" spans="1:8" x14ac:dyDescent="0.2">
      <c r="A111" s="843" t="s">
        <v>1971</v>
      </c>
      <c r="B111" s="275" t="s">
        <v>3227</v>
      </c>
      <c r="C111" s="844">
        <v>79614804</v>
      </c>
      <c r="D111" s="844">
        <v>108747455</v>
      </c>
      <c r="E111" s="844">
        <f t="shared" si="3"/>
        <v>188362259</v>
      </c>
      <c r="F111" s="844">
        <v>119611615.01000001</v>
      </c>
      <c r="G111" s="844">
        <v>68750643.989999995</v>
      </c>
      <c r="H111" s="842">
        <f t="shared" si="2"/>
        <v>0.63500839098558493</v>
      </c>
    </row>
    <row r="112" spans="1:8" x14ac:dyDescent="0.2">
      <c r="A112" s="843" t="s">
        <v>1972</v>
      </c>
      <c r="B112" s="275" t="s">
        <v>988</v>
      </c>
      <c r="C112" s="844">
        <v>354546383.19999999</v>
      </c>
      <c r="D112" s="844">
        <v>53762799.399999999</v>
      </c>
      <c r="E112" s="844">
        <f t="shared" si="3"/>
        <v>408309182.59999996</v>
      </c>
      <c r="F112" s="844">
        <v>99761445.950000003</v>
      </c>
      <c r="G112" s="844">
        <v>308547736.64999998</v>
      </c>
      <c r="H112" s="842">
        <f t="shared" si="2"/>
        <v>0.2443281958900525</v>
      </c>
    </row>
    <row r="113" spans="1:8" x14ac:dyDescent="0.2">
      <c r="A113" s="843" t="s">
        <v>1973</v>
      </c>
      <c r="B113" s="275" t="s">
        <v>988</v>
      </c>
      <c r="C113" s="844">
        <v>354546383.19999999</v>
      </c>
      <c r="D113" s="844">
        <v>53762799.399999999</v>
      </c>
      <c r="E113" s="844">
        <f t="shared" si="3"/>
        <v>408309182.59999996</v>
      </c>
      <c r="F113" s="844">
        <v>99761445.950000003</v>
      </c>
      <c r="G113" s="844">
        <v>308547736.64999998</v>
      </c>
      <c r="H113" s="842">
        <f t="shared" si="2"/>
        <v>0.2443281958900525</v>
      </c>
    </row>
    <row r="114" spans="1:8" x14ac:dyDescent="0.2">
      <c r="A114" s="843" t="s">
        <v>1974</v>
      </c>
      <c r="B114" s="275" t="s">
        <v>989</v>
      </c>
      <c r="C114" s="844">
        <v>1733002835</v>
      </c>
      <c r="D114" s="844">
        <v>-6026603.3799999999</v>
      </c>
      <c r="E114" s="844">
        <f t="shared" si="3"/>
        <v>1726976231.6199999</v>
      </c>
      <c r="F114" s="844">
        <v>561062357.78999996</v>
      </c>
      <c r="G114" s="844">
        <v>1165913873.8299999</v>
      </c>
      <c r="H114" s="842">
        <f t="shared" si="2"/>
        <v>0.32488134319236822</v>
      </c>
    </row>
    <row r="115" spans="1:8" x14ac:dyDescent="0.2">
      <c r="A115" s="843" t="s">
        <v>1975</v>
      </c>
      <c r="B115" s="275" t="s">
        <v>989</v>
      </c>
      <c r="C115" s="844">
        <v>1733002835</v>
      </c>
      <c r="D115" s="844">
        <v>-6026603.3799999999</v>
      </c>
      <c r="E115" s="844">
        <f t="shared" si="3"/>
        <v>1726976231.6199999</v>
      </c>
      <c r="F115" s="844">
        <v>561062357.78999996</v>
      </c>
      <c r="G115" s="844">
        <v>1165913873.8299999</v>
      </c>
      <c r="H115" s="842">
        <f t="shared" si="2"/>
        <v>0.32488134319236822</v>
      </c>
    </row>
    <row r="116" spans="1:8" x14ac:dyDescent="0.2">
      <c r="A116" s="843" t="s">
        <v>1976</v>
      </c>
      <c r="B116" s="275" t="s">
        <v>3228</v>
      </c>
      <c r="C116" s="844">
        <v>1909899979</v>
      </c>
      <c r="D116" s="844">
        <v>52734154.560000002</v>
      </c>
      <c r="E116" s="844">
        <f t="shared" si="3"/>
        <v>1962634133.5599999</v>
      </c>
      <c r="F116" s="844">
        <v>280644821.18000001</v>
      </c>
      <c r="G116" s="844">
        <v>1681989312.3800001</v>
      </c>
      <c r="H116" s="842">
        <f t="shared" si="2"/>
        <v>0.14299395714215035</v>
      </c>
    </row>
    <row r="117" spans="1:8" x14ac:dyDescent="0.2">
      <c r="A117" s="843" t="s">
        <v>1977</v>
      </c>
      <c r="B117" s="275" t="s">
        <v>3228</v>
      </c>
      <c r="C117" s="844">
        <v>1909899979</v>
      </c>
      <c r="D117" s="844">
        <v>52734154.560000002</v>
      </c>
      <c r="E117" s="844">
        <f t="shared" si="3"/>
        <v>1962634133.5599999</v>
      </c>
      <c r="F117" s="844">
        <v>280644821.18000001</v>
      </c>
      <c r="G117" s="844">
        <v>1681989312.3800001</v>
      </c>
      <c r="H117" s="842">
        <f t="shared" si="2"/>
        <v>0.14299395714215035</v>
      </c>
    </row>
    <row r="118" spans="1:8" x14ac:dyDescent="0.2">
      <c r="A118" s="843" t="s">
        <v>1978</v>
      </c>
      <c r="B118" s="275" t="s">
        <v>415</v>
      </c>
      <c r="C118" s="844">
        <v>1422282645</v>
      </c>
      <c r="D118" s="844">
        <v>-4857443.8</v>
      </c>
      <c r="E118" s="844">
        <f t="shared" si="3"/>
        <v>1417425201.2</v>
      </c>
      <c r="F118" s="844">
        <v>406632967.48000002</v>
      </c>
      <c r="G118" s="844">
        <v>1010792233.72</v>
      </c>
      <c r="H118" s="842">
        <f t="shared" si="2"/>
        <v>0.28688142918281845</v>
      </c>
    </row>
    <row r="119" spans="1:8" x14ac:dyDescent="0.2">
      <c r="A119" s="843" t="s">
        <v>1979</v>
      </c>
      <c r="B119" s="275" t="s">
        <v>3229</v>
      </c>
      <c r="C119" s="844">
        <v>205352793</v>
      </c>
      <c r="D119" s="844">
        <v>-30109110.899999999</v>
      </c>
      <c r="E119" s="844">
        <f t="shared" si="3"/>
        <v>175243682.09999999</v>
      </c>
      <c r="F119" s="844">
        <v>47552283.450000003</v>
      </c>
      <c r="G119" s="844">
        <v>127691398.65000001</v>
      </c>
      <c r="H119" s="842">
        <f t="shared" si="2"/>
        <v>0.27134948821073651</v>
      </c>
    </row>
    <row r="120" spans="1:8" x14ac:dyDescent="0.2">
      <c r="A120" s="843" t="s">
        <v>1980</v>
      </c>
      <c r="B120" s="275" t="s">
        <v>3229</v>
      </c>
      <c r="C120" s="844">
        <v>205352793</v>
      </c>
      <c r="D120" s="844">
        <v>-30109110.899999999</v>
      </c>
      <c r="E120" s="844">
        <f t="shared" si="3"/>
        <v>175243682.09999999</v>
      </c>
      <c r="F120" s="844">
        <v>47552283.450000003</v>
      </c>
      <c r="G120" s="844">
        <v>127691398.65000001</v>
      </c>
      <c r="H120" s="842">
        <f t="shared" si="2"/>
        <v>0.27134948821073651</v>
      </c>
    </row>
    <row r="121" spans="1:8" x14ac:dyDescent="0.2">
      <c r="A121" s="843" t="s">
        <v>1981</v>
      </c>
      <c r="B121" s="275" t="s">
        <v>3230</v>
      </c>
      <c r="C121" s="844">
        <v>572929852</v>
      </c>
      <c r="D121" s="844">
        <v>6701800.2999999998</v>
      </c>
      <c r="E121" s="844">
        <f t="shared" si="3"/>
        <v>579631652.29999995</v>
      </c>
      <c r="F121" s="844">
        <v>155138686.25</v>
      </c>
      <c r="G121" s="844">
        <v>424492966.05000001</v>
      </c>
      <c r="H121" s="842">
        <f t="shared" si="2"/>
        <v>0.2676504735971611</v>
      </c>
    </row>
    <row r="122" spans="1:8" x14ac:dyDescent="0.2">
      <c r="A122" s="843" t="s">
        <v>1982</v>
      </c>
      <c r="B122" s="275" t="s">
        <v>3230</v>
      </c>
      <c r="C122" s="844">
        <v>572929852</v>
      </c>
      <c r="D122" s="844">
        <v>6701800.2999999998</v>
      </c>
      <c r="E122" s="844">
        <f t="shared" si="3"/>
        <v>579631652.29999995</v>
      </c>
      <c r="F122" s="844">
        <v>155138686.25</v>
      </c>
      <c r="G122" s="844">
        <v>424492966.05000001</v>
      </c>
      <c r="H122" s="842">
        <f t="shared" si="2"/>
        <v>0.2676504735971611</v>
      </c>
    </row>
    <row r="123" spans="1:8" x14ac:dyDescent="0.2">
      <c r="A123" s="843" t="s">
        <v>1983</v>
      </c>
      <c r="B123" s="275" t="s">
        <v>416</v>
      </c>
      <c r="C123" s="844">
        <v>319500000</v>
      </c>
      <c r="D123" s="844">
        <v>4433152.4000000004</v>
      </c>
      <c r="E123" s="844">
        <f t="shared" si="3"/>
        <v>323933152.39999998</v>
      </c>
      <c r="F123" s="844">
        <v>97380645.590000004</v>
      </c>
      <c r="G123" s="844">
        <v>226552506.81</v>
      </c>
      <c r="H123" s="842">
        <f t="shared" si="2"/>
        <v>0.30061957187312577</v>
      </c>
    </row>
    <row r="124" spans="1:8" x14ac:dyDescent="0.2">
      <c r="A124" s="843" t="s">
        <v>1984</v>
      </c>
      <c r="B124" s="275" t="s">
        <v>416</v>
      </c>
      <c r="C124" s="844">
        <v>319500000</v>
      </c>
      <c r="D124" s="844">
        <v>4433152.4000000004</v>
      </c>
      <c r="E124" s="844">
        <f t="shared" si="3"/>
        <v>323933152.39999998</v>
      </c>
      <c r="F124" s="844">
        <v>97380645.590000004</v>
      </c>
      <c r="G124" s="844">
        <v>226552506.81</v>
      </c>
      <c r="H124" s="842">
        <f t="shared" si="2"/>
        <v>0.30061957187312577</v>
      </c>
    </row>
    <row r="125" spans="1:8" x14ac:dyDescent="0.2">
      <c r="A125" s="843" t="s">
        <v>1985</v>
      </c>
      <c r="B125" s="275" t="s">
        <v>3231</v>
      </c>
      <c r="C125" s="844">
        <v>324500000</v>
      </c>
      <c r="D125" s="844">
        <v>14116714.4</v>
      </c>
      <c r="E125" s="844">
        <f t="shared" si="3"/>
        <v>338616714.39999998</v>
      </c>
      <c r="F125" s="844">
        <v>106561352.19</v>
      </c>
      <c r="G125" s="844">
        <v>232055362.21000001</v>
      </c>
      <c r="H125" s="842">
        <f t="shared" si="2"/>
        <v>0.31469607865877991</v>
      </c>
    </row>
    <row r="126" spans="1:8" x14ac:dyDescent="0.2">
      <c r="A126" s="843" t="s">
        <v>1986</v>
      </c>
      <c r="B126" s="275" t="s">
        <v>3231</v>
      </c>
      <c r="C126" s="844">
        <v>324500000</v>
      </c>
      <c r="D126" s="844">
        <v>14116714.4</v>
      </c>
      <c r="E126" s="844">
        <f t="shared" si="3"/>
        <v>338616714.39999998</v>
      </c>
      <c r="F126" s="844">
        <v>106561352.19</v>
      </c>
      <c r="G126" s="844">
        <v>232055362.21000001</v>
      </c>
      <c r="H126" s="842">
        <f t="shared" si="2"/>
        <v>0.31469607865877991</v>
      </c>
    </row>
    <row r="127" spans="1:8" x14ac:dyDescent="0.2">
      <c r="A127" s="843" t="s">
        <v>1987</v>
      </c>
      <c r="B127" s="275" t="s">
        <v>417</v>
      </c>
      <c r="C127" s="844">
        <v>1523716646</v>
      </c>
      <c r="D127" s="844">
        <v>-122015426.16</v>
      </c>
      <c r="E127" s="844">
        <f t="shared" si="3"/>
        <v>1401701219.8399999</v>
      </c>
      <c r="F127" s="844">
        <v>458250801.00999999</v>
      </c>
      <c r="G127" s="844">
        <v>943450418.83000004</v>
      </c>
      <c r="H127" s="842">
        <f t="shared" si="2"/>
        <v>0.32692473583086984</v>
      </c>
    </row>
    <row r="128" spans="1:8" x14ac:dyDescent="0.2">
      <c r="A128" s="843" t="s">
        <v>1988</v>
      </c>
      <c r="B128" s="275" t="s">
        <v>1438</v>
      </c>
      <c r="C128" s="844">
        <v>1523716646</v>
      </c>
      <c r="D128" s="844">
        <v>-122015426.16</v>
      </c>
      <c r="E128" s="844">
        <f t="shared" si="3"/>
        <v>1401701219.8399999</v>
      </c>
      <c r="F128" s="844">
        <v>458250801.00999999</v>
      </c>
      <c r="G128" s="844">
        <v>943450418.83000004</v>
      </c>
      <c r="H128" s="842">
        <f t="shared" si="2"/>
        <v>0.32692473583086984</v>
      </c>
    </row>
    <row r="129" spans="1:8" x14ac:dyDescent="0.2">
      <c r="A129" s="843" t="s">
        <v>1989</v>
      </c>
      <c r="B129" s="275" t="s">
        <v>1438</v>
      </c>
      <c r="C129" s="844">
        <v>1038716646</v>
      </c>
      <c r="D129" s="844">
        <v>-121535356.16</v>
      </c>
      <c r="E129" s="844">
        <f t="shared" si="3"/>
        <v>917181289.84000003</v>
      </c>
      <c r="F129" s="844">
        <v>262446106</v>
      </c>
      <c r="G129" s="844">
        <v>654735183.84000003</v>
      </c>
      <c r="H129" s="842">
        <f t="shared" si="2"/>
        <v>0.28614419952437437</v>
      </c>
    </row>
    <row r="130" spans="1:8" x14ac:dyDescent="0.2">
      <c r="A130" s="843" t="s">
        <v>1990</v>
      </c>
      <c r="B130" s="275" t="s">
        <v>418</v>
      </c>
      <c r="C130" s="844">
        <v>445000000</v>
      </c>
      <c r="D130" s="844">
        <v>0</v>
      </c>
      <c r="E130" s="844">
        <f t="shared" si="3"/>
        <v>445000000</v>
      </c>
      <c r="F130" s="844">
        <v>193501585.00999999</v>
      </c>
      <c r="G130" s="844">
        <v>251498414.99000001</v>
      </c>
      <c r="H130" s="842">
        <f t="shared" si="2"/>
        <v>0.434835022494382</v>
      </c>
    </row>
    <row r="131" spans="1:8" x14ac:dyDescent="0.2">
      <c r="A131" s="843" t="s">
        <v>1991</v>
      </c>
      <c r="B131" s="275" t="s">
        <v>3232</v>
      </c>
      <c r="C131" s="844">
        <v>40000000</v>
      </c>
      <c r="D131" s="844">
        <v>-480070</v>
      </c>
      <c r="E131" s="844">
        <f t="shared" si="3"/>
        <v>39519930</v>
      </c>
      <c r="F131" s="844">
        <v>2303110</v>
      </c>
      <c r="G131" s="844">
        <v>37216820</v>
      </c>
      <c r="H131" s="842">
        <f t="shared" si="2"/>
        <v>5.8277178122532101E-2</v>
      </c>
    </row>
    <row r="132" spans="1:8" x14ac:dyDescent="0.2">
      <c r="A132" s="843" t="s">
        <v>1992</v>
      </c>
      <c r="B132" s="275" t="s">
        <v>302</v>
      </c>
      <c r="C132" s="844">
        <v>1446636027.5699999</v>
      </c>
      <c r="D132" s="844">
        <v>107603178.47</v>
      </c>
      <c r="E132" s="844">
        <f t="shared" si="3"/>
        <v>1554239206.04</v>
      </c>
      <c r="F132" s="844">
        <v>474480022.94999999</v>
      </c>
      <c r="G132" s="844">
        <v>1079759183.0899999</v>
      </c>
      <c r="H132" s="842">
        <f t="shared" si="2"/>
        <v>0.30528120839192674</v>
      </c>
    </row>
    <row r="133" spans="1:8" x14ac:dyDescent="0.2">
      <c r="A133" s="843" t="s">
        <v>1993</v>
      </c>
      <c r="B133" s="275" t="s">
        <v>3233</v>
      </c>
      <c r="C133" s="844">
        <v>1441157527.5699999</v>
      </c>
      <c r="D133" s="844">
        <v>108468178.47</v>
      </c>
      <c r="E133" s="844">
        <f t="shared" si="3"/>
        <v>1549625706.04</v>
      </c>
      <c r="F133" s="844">
        <v>471350525.5</v>
      </c>
      <c r="G133" s="844">
        <v>1078275180.54</v>
      </c>
      <c r="H133" s="842">
        <f t="shared" ref="H133:H196" si="4">F133/E133</f>
        <v>0.30417056432583028</v>
      </c>
    </row>
    <row r="134" spans="1:8" x14ac:dyDescent="0.2">
      <c r="A134" s="843" t="s">
        <v>1994</v>
      </c>
      <c r="B134" s="275" t="s">
        <v>3233</v>
      </c>
      <c r="C134" s="844">
        <v>1441157527.5699999</v>
      </c>
      <c r="D134" s="844">
        <v>108468178.47</v>
      </c>
      <c r="E134" s="844">
        <f t="shared" ref="E134:E197" si="5">C134+D134</f>
        <v>1549625706.04</v>
      </c>
      <c r="F134" s="844">
        <v>471350525.5</v>
      </c>
      <c r="G134" s="844">
        <v>1078275180.54</v>
      </c>
      <c r="H134" s="842">
        <f t="shared" si="4"/>
        <v>0.30417056432583028</v>
      </c>
    </row>
    <row r="135" spans="1:8" x14ac:dyDescent="0.2">
      <c r="A135" s="843" t="s">
        <v>1995</v>
      </c>
      <c r="B135" s="275" t="s">
        <v>303</v>
      </c>
      <c r="C135" s="844">
        <v>2500000</v>
      </c>
      <c r="D135" s="844">
        <v>-965000</v>
      </c>
      <c r="E135" s="844">
        <f t="shared" si="5"/>
        <v>1535000</v>
      </c>
      <c r="F135" s="844">
        <v>2398600</v>
      </c>
      <c r="G135" s="844">
        <v>-863600</v>
      </c>
      <c r="H135" s="842">
        <f t="shared" si="4"/>
        <v>1.5626058631921824</v>
      </c>
    </row>
    <row r="136" spans="1:8" x14ac:dyDescent="0.2">
      <c r="A136" s="843" t="s">
        <v>1996</v>
      </c>
      <c r="B136" s="275" t="s">
        <v>303</v>
      </c>
      <c r="C136" s="844">
        <v>2500000</v>
      </c>
      <c r="D136" s="844">
        <v>-965000</v>
      </c>
      <c r="E136" s="844">
        <f t="shared" si="5"/>
        <v>1535000</v>
      </c>
      <c r="F136" s="844">
        <v>2398600</v>
      </c>
      <c r="G136" s="844">
        <v>-863600</v>
      </c>
      <c r="H136" s="842">
        <f t="shared" si="4"/>
        <v>1.5626058631921824</v>
      </c>
    </row>
    <row r="137" spans="1:8" x14ac:dyDescent="0.2">
      <c r="A137" s="843" t="s">
        <v>1997</v>
      </c>
      <c r="B137" s="275" t="s">
        <v>3234</v>
      </c>
      <c r="C137" s="844">
        <v>2978500</v>
      </c>
      <c r="D137" s="844">
        <v>100000</v>
      </c>
      <c r="E137" s="844">
        <f t="shared" si="5"/>
        <v>3078500</v>
      </c>
      <c r="F137" s="844">
        <v>730897.45</v>
      </c>
      <c r="G137" s="844">
        <v>2347602.5499999998</v>
      </c>
      <c r="H137" s="842">
        <f t="shared" si="4"/>
        <v>0.23741999350332954</v>
      </c>
    </row>
    <row r="138" spans="1:8" x14ac:dyDescent="0.2">
      <c r="A138" s="843" t="s">
        <v>1998</v>
      </c>
      <c r="B138" s="275" t="s">
        <v>3234</v>
      </c>
      <c r="C138" s="844">
        <v>2978500</v>
      </c>
      <c r="D138" s="844">
        <v>100000</v>
      </c>
      <c r="E138" s="844">
        <f t="shared" si="5"/>
        <v>3078500</v>
      </c>
      <c r="F138" s="844">
        <v>730897.45</v>
      </c>
      <c r="G138" s="844">
        <v>2347602.5499999998</v>
      </c>
      <c r="H138" s="842">
        <f t="shared" si="4"/>
        <v>0.23741999350332954</v>
      </c>
    </row>
    <row r="139" spans="1:8" x14ac:dyDescent="0.2">
      <c r="A139" s="843" t="s">
        <v>1999</v>
      </c>
      <c r="B139" s="275" t="s">
        <v>3235</v>
      </c>
      <c r="C139" s="844">
        <v>4465941503.7700005</v>
      </c>
      <c r="D139" s="844">
        <v>-112004930.61</v>
      </c>
      <c r="E139" s="844">
        <f t="shared" si="5"/>
        <v>4353936573.1600008</v>
      </c>
      <c r="F139" s="844">
        <v>1736242210.5699999</v>
      </c>
      <c r="G139" s="844">
        <v>2617694362.5900002</v>
      </c>
      <c r="H139" s="842">
        <f t="shared" si="4"/>
        <v>0.39877526495749333</v>
      </c>
    </row>
    <row r="140" spans="1:8" x14ac:dyDescent="0.2">
      <c r="A140" s="843" t="s">
        <v>2000</v>
      </c>
      <c r="B140" s="275" t="s">
        <v>1043</v>
      </c>
      <c r="C140" s="844">
        <v>2278405071.5999999</v>
      </c>
      <c r="D140" s="844">
        <v>-126644302.55</v>
      </c>
      <c r="E140" s="844">
        <f t="shared" si="5"/>
        <v>2151760769.0499997</v>
      </c>
      <c r="F140" s="844">
        <v>824290367.76999998</v>
      </c>
      <c r="G140" s="844">
        <v>1327470401.28</v>
      </c>
      <c r="H140" s="842">
        <f t="shared" si="4"/>
        <v>0.3830771429734372</v>
      </c>
    </row>
    <row r="141" spans="1:8" x14ac:dyDescent="0.2">
      <c r="A141" s="843" t="s">
        <v>2001</v>
      </c>
      <c r="B141" s="275" t="s">
        <v>1043</v>
      </c>
      <c r="C141" s="844">
        <v>2278405071.5999999</v>
      </c>
      <c r="D141" s="844">
        <v>-126644302.55</v>
      </c>
      <c r="E141" s="844">
        <f t="shared" si="5"/>
        <v>2151760769.0499997</v>
      </c>
      <c r="F141" s="844">
        <v>824290367.76999998</v>
      </c>
      <c r="G141" s="844">
        <v>1327470401.28</v>
      </c>
      <c r="H141" s="842">
        <f t="shared" si="4"/>
        <v>0.3830771429734372</v>
      </c>
    </row>
    <row r="142" spans="1:8" x14ac:dyDescent="0.2">
      <c r="A142" s="843" t="s">
        <v>2002</v>
      </c>
      <c r="B142" s="275" t="s">
        <v>3236</v>
      </c>
      <c r="C142" s="844">
        <v>82000000</v>
      </c>
      <c r="D142" s="844">
        <v>22448450.899999999</v>
      </c>
      <c r="E142" s="844">
        <f t="shared" si="5"/>
        <v>104448450.90000001</v>
      </c>
      <c r="F142" s="844">
        <v>71612816.5</v>
      </c>
      <c r="G142" s="844">
        <v>32835634.399999999</v>
      </c>
      <c r="H142" s="842">
        <f t="shared" si="4"/>
        <v>0.68562832558007802</v>
      </c>
    </row>
    <row r="143" spans="1:8" x14ac:dyDescent="0.2">
      <c r="A143" s="843" t="s">
        <v>2003</v>
      </c>
      <c r="B143" s="275" t="s">
        <v>3236</v>
      </c>
      <c r="C143" s="844">
        <v>82000000</v>
      </c>
      <c r="D143" s="844">
        <v>22448450.899999999</v>
      </c>
      <c r="E143" s="844">
        <f t="shared" si="5"/>
        <v>104448450.90000001</v>
      </c>
      <c r="F143" s="844">
        <v>71612816.5</v>
      </c>
      <c r="G143" s="844">
        <v>32835634.399999999</v>
      </c>
      <c r="H143" s="842">
        <f t="shared" si="4"/>
        <v>0.68562832558007802</v>
      </c>
    </row>
    <row r="144" spans="1:8" x14ac:dyDescent="0.2">
      <c r="A144" s="843" t="s">
        <v>2004</v>
      </c>
      <c r="B144" s="275" t="s">
        <v>1283</v>
      </c>
      <c r="C144" s="844">
        <v>488527121.98000002</v>
      </c>
      <c r="D144" s="844">
        <v>-21702649.350000001</v>
      </c>
      <c r="E144" s="844">
        <f t="shared" si="5"/>
        <v>466824472.63</v>
      </c>
      <c r="F144" s="844">
        <v>345881677.33999997</v>
      </c>
      <c r="G144" s="844">
        <v>120942795.29000001</v>
      </c>
      <c r="H144" s="842">
        <f t="shared" si="4"/>
        <v>0.74092447508454007</v>
      </c>
    </row>
    <row r="145" spans="1:8" x14ac:dyDescent="0.2">
      <c r="A145" s="843" t="s">
        <v>2005</v>
      </c>
      <c r="B145" s="275" t="s">
        <v>1283</v>
      </c>
      <c r="C145" s="844">
        <v>488527121.98000002</v>
      </c>
      <c r="D145" s="844">
        <v>-21702649.350000001</v>
      </c>
      <c r="E145" s="844">
        <f t="shared" si="5"/>
        <v>466824472.63</v>
      </c>
      <c r="F145" s="844">
        <v>345881677.33999997</v>
      </c>
      <c r="G145" s="844">
        <v>120942795.29000001</v>
      </c>
      <c r="H145" s="842">
        <f t="shared" si="4"/>
        <v>0.74092447508454007</v>
      </c>
    </row>
    <row r="146" spans="1:8" x14ac:dyDescent="0.2">
      <c r="A146" s="843" t="s">
        <v>2006</v>
      </c>
      <c r="B146" s="275" t="s">
        <v>3237</v>
      </c>
      <c r="C146" s="844">
        <v>31039236</v>
      </c>
      <c r="D146" s="844">
        <v>558169.30000000005</v>
      </c>
      <c r="E146" s="844">
        <f t="shared" si="5"/>
        <v>31597405.300000001</v>
      </c>
      <c r="F146" s="844">
        <v>11878453.939999999</v>
      </c>
      <c r="G146" s="844">
        <v>19718951.359999999</v>
      </c>
      <c r="H146" s="842">
        <f t="shared" si="4"/>
        <v>0.37593130914455181</v>
      </c>
    </row>
    <row r="147" spans="1:8" x14ac:dyDescent="0.2">
      <c r="A147" s="843" t="s">
        <v>2007</v>
      </c>
      <c r="B147" s="275" t="s">
        <v>3237</v>
      </c>
      <c r="C147" s="844">
        <v>31039236</v>
      </c>
      <c r="D147" s="844">
        <v>558169.30000000005</v>
      </c>
      <c r="E147" s="844">
        <f t="shared" si="5"/>
        <v>31597405.300000001</v>
      </c>
      <c r="F147" s="844">
        <v>11878453.939999999</v>
      </c>
      <c r="G147" s="844">
        <v>19718951.359999999</v>
      </c>
      <c r="H147" s="842">
        <f t="shared" si="4"/>
        <v>0.37593130914455181</v>
      </c>
    </row>
    <row r="148" spans="1:8" x14ac:dyDescent="0.2">
      <c r="A148" s="843" t="s">
        <v>2008</v>
      </c>
      <c r="B148" s="275" t="s">
        <v>1284</v>
      </c>
      <c r="C148" s="844">
        <v>148262817</v>
      </c>
      <c r="D148" s="844">
        <v>-15824837.25</v>
      </c>
      <c r="E148" s="844">
        <f t="shared" si="5"/>
        <v>132437979.75</v>
      </c>
      <c r="F148" s="844">
        <v>34802092.600000001</v>
      </c>
      <c r="G148" s="844">
        <v>97635887.150000006</v>
      </c>
      <c r="H148" s="842">
        <f t="shared" si="4"/>
        <v>0.26278030415214032</v>
      </c>
    </row>
    <row r="149" spans="1:8" x14ac:dyDescent="0.2">
      <c r="A149" s="843" t="s">
        <v>2009</v>
      </c>
      <c r="B149" s="275" t="s">
        <v>1284</v>
      </c>
      <c r="C149" s="844">
        <v>148262817</v>
      </c>
      <c r="D149" s="844">
        <v>-15824837.25</v>
      </c>
      <c r="E149" s="844">
        <f t="shared" si="5"/>
        <v>132437979.75</v>
      </c>
      <c r="F149" s="844">
        <v>34802092.600000001</v>
      </c>
      <c r="G149" s="844">
        <v>97635887.150000006</v>
      </c>
      <c r="H149" s="842">
        <f t="shared" si="4"/>
        <v>0.26278030415214032</v>
      </c>
    </row>
    <row r="150" spans="1:8" x14ac:dyDescent="0.2">
      <c r="A150" s="843" t="s">
        <v>2010</v>
      </c>
      <c r="B150" s="275" t="s">
        <v>1285</v>
      </c>
      <c r="C150" s="844">
        <v>107737618.04000001</v>
      </c>
      <c r="D150" s="844">
        <v>-17063160</v>
      </c>
      <c r="E150" s="844">
        <f t="shared" si="5"/>
        <v>90674458.040000007</v>
      </c>
      <c r="F150" s="844">
        <v>65377244.899999999</v>
      </c>
      <c r="G150" s="844">
        <v>25297213.140000001</v>
      </c>
      <c r="H150" s="842">
        <f t="shared" si="4"/>
        <v>0.72101059452883154</v>
      </c>
    </row>
    <row r="151" spans="1:8" x14ac:dyDescent="0.2">
      <c r="A151" s="843" t="s">
        <v>2011</v>
      </c>
      <c r="B151" s="275" t="s">
        <v>1285</v>
      </c>
      <c r="C151" s="844">
        <v>107737618.04000001</v>
      </c>
      <c r="D151" s="844">
        <v>-17063160</v>
      </c>
      <c r="E151" s="844">
        <f t="shared" si="5"/>
        <v>90674458.040000007</v>
      </c>
      <c r="F151" s="844">
        <v>65377244.899999999</v>
      </c>
      <c r="G151" s="844">
        <v>25297213.140000001</v>
      </c>
      <c r="H151" s="842">
        <f t="shared" si="4"/>
        <v>0.72101059452883154</v>
      </c>
    </row>
    <row r="152" spans="1:8" x14ac:dyDescent="0.2">
      <c r="A152" s="843" t="s">
        <v>2012</v>
      </c>
      <c r="B152" s="275" t="s">
        <v>1286</v>
      </c>
      <c r="C152" s="844">
        <v>35205578</v>
      </c>
      <c r="D152" s="844">
        <v>-1178420</v>
      </c>
      <c r="E152" s="844">
        <f t="shared" si="5"/>
        <v>34027158</v>
      </c>
      <c r="F152" s="844">
        <v>14558922.199999999</v>
      </c>
      <c r="G152" s="844">
        <v>19468235.800000001</v>
      </c>
      <c r="H152" s="842">
        <f t="shared" si="4"/>
        <v>0.42786183318630372</v>
      </c>
    </row>
    <row r="153" spans="1:8" x14ac:dyDescent="0.2">
      <c r="A153" s="843" t="s">
        <v>2013</v>
      </c>
      <c r="B153" s="275" t="s">
        <v>1286</v>
      </c>
      <c r="C153" s="844">
        <v>35205578</v>
      </c>
      <c r="D153" s="844">
        <v>-1178420</v>
      </c>
      <c r="E153" s="844">
        <f t="shared" si="5"/>
        <v>34027158</v>
      </c>
      <c r="F153" s="844">
        <v>14558922.199999999</v>
      </c>
      <c r="G153" s="844">
        <v>19468235.800000001</v>
      </c>
      <c r="H153" s="842">
        <f t="shared" si="4"/>
        <v>0.42786183318630372</v>
      </c>
    </row>
    <row r="154" spans="1:8" x14ac:dyDescent="0.2">
      <c r="A154" s="843" t="s">
        <v>2014</v>
      </c>
      <c r="B154" s="275" t="s">
        <v>1287</v>
      </c>
      <c r="C154" s="844">
        <v>281380183.13999999</v>
      </c>
      <c r="D154" s="844">
        <v>48187216.090000004</v>
      </c>
      <c r="E154" s="844">
        <f t="shared" si="5"/>
        <v>329567399.23000002</v>
      </c>
      <c r="F154" s="844">
        <v>48179298.950000003</v>
      </c>
      <c r="G154" s="844">
        <v>281388100.27999997</v>
      </c>
      <c r="H154" s="842">
        <f t="shared" si="4"/>
        <v>0.14618951711415004</v>
      </c>
    </row>
    <row r="155" spans="1:8" x14ac:dyDescent="0.2">
      <c r="A155" s="843" t="s">
        <v>2015</v>
      </c>
      <c r="B155" s="275" t="s">
        <v>1287</v>
      </c>
      <c r="C155" s="844">
        <v>281380183.13999999</v>
      </c>
      <c r="D155" s="844">
        <v>48187216.090000004</v>
      </c>
      <c r="E155" s="844">
        <f t="shared" si="5"/>
        <v>329567399.23000002</v>
      </c>
      <c r="F155" s="844">
        <v>48179298.950000003</v>
      </c>
      <c r="G155" s="844">
        <v>281388100.27999997</v>
      </c>
      <c r="H155" s="842">
        <f t="shared" si="4"/>
        <v>0.14618951711415004</v>
      </c>
    </row>
    <row r="156" spans="1:8" x14ac:dyDescent="0.2">
      <c r="A156" s="843" t="s">
        <v>2016</v>
      </c>
      <c r="B156" s="275" t="s">
        <v>1288</v>
      </c>
      <c r="C156" s="844">
        <v>1013383878.01</v>
      </c>
      <c r="D156" s="844">
        <v>-785397.75</v>
      </c>
      <c r="E156" s="844">
        <f t="shared" si="5"/>
        <v>1012598480.26</v>
      </c>
      <c r="F156" s="844">
        <v>319661336.37</v>
      </c>
      <c r="G156" s="844">
        <v>692937143.88999999</v>
      </c>
      <c r="H156" s="842">
        <f t="shared" si="4"/>
        <v>0.31568419526752806</v>
      </c>
    </row>
    <row r="157" spans="1:8" x14ac:dyDescent="0.2">
      <c r="A157" s="843" t="s">
        <v>2017</v>
      </c>
      <c r="B157" s="275" t="s">
        <v>1288</v>
      </c>
      <c r="C157" s="844">
        <v>1013383878.01</v>
      </c>
      <c r="D157" s="844">
        <v>-785397.75</v>
      </c>
      <c r="E157" s="844">
        <f t="shared" si="5"/>
        <v>1012598480.26</v>
      </c>
      <c r="F157" s="844">
        <v>319661336.37</v>
      </c>
      <c r="G157" s="844">
        <v>692937143.88999999</v>
      </c>
      <c r="H157" s="842">
        <f t="shared" si="4"/>
        <v>0.31568419526752806</v>
      </c>
    </row>
    <row r="158" spans="1:8" x14ac:dyDescent="0.2">
      <c r="A158" s="843" t="s">
        <v>2018</v>
      </c>
      <c r="B158" s="275" t="s">
        <v>1289</v>
      </c>
      <c r="C158" s="844">
        <v>4961904619</v>
      </c>
      <c r="D158" s="844">
        <v>940568342.71000004</v>
      </c>
      <c r="E158" s="844">
        <f t="shared" si="5"/>
        <v>5902472961.71</v>
      </c>
      <c r="F158" s="844">
        <v>759098186.86000001</v>
      </c>
      <c r="G158" s="844">
        <v>5143374774.8500004</v>
      </c>
      <c r="H158" s="842">
        <f t="shared" si="4"/>
        <v>0.12860680460280879</v>
      </c>
    </row>
    <row r="159" spans="1:8" x14ac:dyDescent="0.2">
      <c r="A159" s="843" t="s">
        <v>2019</v>
      </c>
      <c r="B159" s="275" t="s">
        <v>1290</v>
      </c>
      <c r="C159" s="844">
        <v>4961904619</v>
      </c>
      <c r="D159" s="844">
        <v>940568342.71000004</v>
      </c>
      <c r="E159" s="844">
        <f t="shared" si="5"/>
        <v>5902472961.71</v>
      </c>
      <c r="F159" s="844">
        <v>759098186.86000001</v>
      </c>
      <c r="G159" s="844">
        <v>5143374774.8500004</v>
      </c>
      <c r="H159" s="842">
        <f t="shared" si="4"/>
        <v>0.12860680460280879</v>
      </c>
    </row>
    <row r="160" spans="1:8" x14ac:dyDescent="0.2">
      <c r="A160" s="843" t="s">
        <v>2020</v>
      </c>
      <c r="B160" s="275" t="s">
        <v>1439</v>
      </c>
      <c r="C160" s="844">
        <v>3375516153</v>
      </c>
      <c r="D160" s="844">
        <v>914664534.50999999</v>
      </c>
      <c r="E160" s="844">
        <f t="shared" si="5"/>
        <v>4290180687.5100002</v>
      </c>
      <c r="F160" s="844">
        <v>242249740.5</v>
      </c>
      <c r="G160" s="844">
        <v>4047930947.0100002</v>
      </c>
      <c r="H160" s="842">
        <f t="shared" si="4"/>
        <v>5.6466092723148349E-2</v>
      </c>
    </row>
    <row r="161" spans="1:8" x14ac:dyDescent="0.2">
      <c r="A161" s="843" t="s">
        <v>2021</v>
      </c>
      <c r="B161" s="275" t="s">
        <v>1440</v>
      </c>
      <c r="C161" s="844">
        <v>1428179466</v>
      </c>
      <c r="D161" s="844">
        <v>-43832000</v>
      </c>
      <c r="E161" s="844">
        <f t="shared" si="5"/>
        <v>1384347466</v>
      </c>
      <c r="F161" s="844">
        <v>417475595.50999999</v>
      </c>
      <c r="G161" s="844">
        <v>966871870.49000001</v>
      </c>
      <c r="H161" s="842">
        <f t="shared" si="4"/>
        <v>0.30156850484674486</v>
      </c>
    </row>
    <row r="162" spans="1:8" x14ac:dyDescent="0.2">
      <c r="A162" s="843" t="s">
        <v>2022</v>
      </c>
      <c r="B162" s="275" t="s">
        <v>465</v>
      </c>
      <c r="C162" s="844">
        <v>98209000</v>
      </c>
      <c r="D162" s="844">
        <v>86000000</v>
      </c>
      <c r="E162" s="844">
        <f t="shared" si="5"/>
        <v>184209000</v>
      </c>
      <c r="F162" s="844">
        <v>69687426.799999997</v>
      </c>
      <c r="G162" s="844">
        <v>114521573.2</v>
      </c>
      <c r="H162" s="842">
        <f t="shared" si="4"/>
        <v>0.37830630859512837</v>
      </c>
    </row>
    <row r="163" spans="1:8" x14ac:dyDescent="0.2">
      <c r="A163" s="843" t="s">
        <v>2023</v>
      </c>
      <c r="B163" s="275" t="s">
        <v>4153</v>
      </c>
      <c r="C163" s="844">
        <v>60000000</v>
      </c>
      <c r="D163" s="844">
        <v>-16264191.800000001</v>
      </c>
      <c r="E163" s="844">
        <f t="shared" si="5"/>
        <v>43735808.200000003</v>
      </c>
      <c r="F163" s="844">
        <v>29685424.050000001</v>
      </c>
      <c r="G163" s="844">
        <v>14050384.15</v>
      </c>
      <c r="H163" s="842">
        <f t="shared" si="4"/>
        <v>0.67874415202872596</v>
      </c>
    </row>
    <row r="164" spans="1:8" x14ac:dyDescent="0.2">
      <c r="A164" s="843"/>
      <c r="B164" s="275"/>
      <c r="C164" s="844"/>
      <c r="D164" s="844"/>
      <c r="E164" s="844"/>
      <c r="F164" s="844"/>
      <c r="G164" s="844"/>
      <c r="H164" s="842"/>
    </row>
    <row r="165" spans="1:8" x14ac:dyDescent="0.2">
      <c r="A165" s="840">
        <v>2</v>
      </c>
      <c r="B165" s="295" t="s">
        <v>377</v>
      </c>
      <c r="C165" s="841">
        <v>8173305927.4899998</v>
      </c>
      <c r="D165" s="841">
        <v>-214242742.28</v>
      </c>
      <c r="E165" s="841">
        <f t="shared" si="5"/>
        <v>7959063185.21</v>
      </c>
      <c r="F165" s="841">
        <v>2412534718.8299999</v>
      </c>
      <c r="G165" s="841">
        <v>5546528466.3800001</v>
      </c>
      <c r="H165" s="842">
        <f t="shared" si="4"/>
        <v>0.30311792514891878</v>
      </c>
    </row>
    <row r="166" spans="1:8" x14ac:dyDescent="0.2">
      <c r="A166" s="843" t="s">
        <v>2024</v>
      </c>
      <c r="B166" s="275" t="s">
        <v>3238</v>
      </c>
      <c r="C166" s="844">
        <v>1761091355.6500001</v>
      </c>
      <c r="D166" s="844">
        <v>-24639994.920000002</v>
      </c>
      <c r="E166" s="844">
        <f t="shared" si="5"/>
        <v>1736451360.73</v>
      </c>
      <c r="F166" s="844">
        <v>590526776.35000002</v>
      </c>
      <c r="G166" s="844">
        <v>1145924584.3800001</v>
      </c>
      <c r="H166" s="842">
        <f t="shared" si="4"/>
        <v>0.34007677364584743</v>
      </c>
    </row>
    <row r="167" spans="1:8" x14ac:dyDescent="0.2">
      <c r="A167" s="843" t="s">
        <v>2025</v>
      </c>
      <c r="B167" s="275" t="s">
        <v>378</v>
      </c>
      <c r="C167" s="844">
        <v>547138254.47000003</v>
      </c>
      <c r="D167" s="844">
        <v>1616277</v>
      </c>
      <c r="E167" s="844">
        <f t="shared" si="5"/>
        <v>548754531.47000003</v>
      </c>
      <c r="F167" s="844">
        <v>163025880.46000001</v>
      </c>
      <c r="G167" s="844">
        <v>385728651.00999999</v>
      </c>
      <c r="H167" s="842">
        <f t="shared" si="4"/>
        <v>0.29708343368625556</v>
      </c>
    </row>
    <row r="168" spans="1:8" s="232" customFormat="1" x14ac:dyDescent="0.2">
      <c r="A168" s="843" t="s">
        <v>2026</v>
      </c>
      <c r="B168" s="275" t="s">
        <v>378</v>
      </c>
      <c r="C168" s="844">
        <v>547138254.47000003</v>
      </c>
      <c r="D168" s="844">
        <v>1616277</v>
      </c>
      <c r="E168" s="844">
        <f t="shared" si="5"/>
        <v>548754531.47000003</v>
      </c>
      <c r="F168" s="844">
        <v>163025880.46000001</v>
      </c>
      <c r="G168" s="844">
        <v>385728651.00999999</v>
      </c>
      <c r="H168" s="842">
        <f t="shared" si="4"/>
        <v>0.29708343368625556</v>
      </c>
    </row>
    <row r="169" spans="1:8" s="232" customFormat="1" x14ac:dyDescent="0.2">
      <c r="A169" s="843" t="s">
        <v>2027</v>
      </c>
      <c r="B169" s="275" t="s">
        <v>3239</v>
      </c>
      <c r="C169" s="844">
        <v>39236161.020000003</v>
      </c>
      <c r="D169" s="844">
        <v>-2286744.65</v>
      </c>
      <c r="E169" s="844">
        <f t="shared" si="5"/>
        <v>36949416.370000005</v>
      </c>
      <c r="F169" s="844">
        <v>12401940.65</v>
      </c>
      <c r="G169" s="844">
        <v>24547475.719999999</v>
      </c>
      <c r="H169" s="842">
        <f t="shared" si="4"/>
        <v>0.33564645584143493</v>
      </c>
    </row>
    <row r="170" spans="1:8" x14ac:dyDescent="0.2">
      <c r="A170" s="843" t="s">
        <v>2028</v>
      </c>
      <c r="B170" s="275" t="s">
        <v>3239</v>
      </c>
      <c r="C170" s="844">
        <v>39236161.020000003</v>
      </c>
      <c r="D170" s="844">
        <v>-2286744.65</v>
      </c>
      <c r="E170" s="844">
        <f t="shared" si="5"/>
        <v>36949416.370000005</v>
      </c>
      <c r="F170" s="844">
        <v>12401940.65</v>
      </c>
      <c r="G170" s="844">
        <v>24547475.719999999</v>
      </c>
      <c r="H170" s="842">
        <f t="shared" si="4"/>
        <v>0.33564645584143493</v>
      </c>
    </row>
    <row r="171" spans="1:8" x14ac:dyDescent="0.2">
      <c r="A171" s="843" t="s">
        <v>2029</v>
      </c>
      <c r="B171" s="275" t="s">
        <v>273</v>
      </c>
      <c r="C171" s="844">
        <v>4854000</v>
      </c>
      <c r="D171" s="844">
        <v>310010</v>
      </c>
      <c r="E171" s="844">
        <f t="shared" si="5"/>
        <v>5164010</v>
      </c>
      <c r="F171" s="844">
        <v>4009580.35</v>
      </c>
      <c r="G171" s="844">
        <v>1154429.6499999999</v>
      </c>
      <c r="H171" s="842">
        <f t="shared" si="4"/>
        <v>0.77644705374311829</v>
      </c>
    </row>
    <row r="172" spans="1:8" x14ac:dyDescent="0.2">
      <c r="A172" s="843" t="s">
        <v>2030</v>
      </c>
      <c r="B172" s="275" t="s">
        <v>273</v>
      </c>
      <c r="C172" s="844">
        <v>4854000</v>
      </c>
      <c r="D172" s="844">
        <v>310010</v>
      </c>
      <c r="E172" s="844">
        <f t="shared" si="5"/>
        <v>5164010</v>
      </c>
      <c r="F172" s="844">
        <v>4009580.35</v>
      </c>
      <c r="G172" s="844">
        <v>1154429.6499999999</v>
      </c>
      <c r="H172" s="842">
        <f t="shared" si="4"/>
        <v>0.77644705374311829</v>
      </c>
    </row>
    <row r="173" spans="1:8" x14ac:dyDescent="0.2">
      <c r="A173" s="843" t="s">
        <v>2031</v>
      </c>
      <c r="B173" s="275" t="s">
        <v>274</v>
      </c>
      <c r="C173" s="844">
        <v>106737082.43000001</v>
      </c>
      <c r="D173" s="844">
        <v>-13564580.73</v>
      </c>
      <c r="E173" s="844">
        <f t="shared" si="5"/>
        <v>93172501.700000003</v>
      </c>
      <c r="F173" s="844">
        <v>27008047</v>
      </c>
      <c r="G173" s="844">
        <v>66164454.700000003</v>
      </c>
      <c r="H173" s="842">
        <f t="shared" si="4"/>
        <v>0.2898714374651164</v>
      </c>
    </row>
    <row r="174" spans="1:8" x14ac:dyDescent="0.2">
      <c r="A174" s="843" t="s">
        <v>2032</v>
      </c>
      <c r="B174" s="275" t="s">
        <v>274</v>
      </c>
      <c r="C174" s="844">
        <v>106737082.43000001</v>
      </c>
      <c r="D174" s="844">
        <v>-13564580.73</v>
      </c>
      <c r="E174" s="844">
        <f t="shared" si="5"/>
        <v>93172501.700000003</v>
      </c>
      <c r="F174" s="844">
        <v>27008047</v>
      </c>
      <c r="G174" s="844">
        <v>66164454.700000003</v>
      </c>
      <c r="H174" s="842">
        <f t="shared" si="4"/>
        <v>0.2898714374651164</v>
      </c>
    </row>
    <row r="175" spans="1:8" x14ac:dyDescent="0.2">
      <c r="A175" s="843" t="s">
        <v>2033</v>
      </c>
      <c r="B175" s="275" t="s">
        <v>3240</v>
      </c>
      <c r="C175" s="844">
        <v>1063125857.73</v>
      </c>
      <c r="D175" s="844">
        <v>-10714956.539999999</v>
      </c>
      <c r="E175" s="844">
        <f t="shared" si="5"/>
        <v>1052410901.1900001</v>
      </c>
      <c r="F175" s="844">
        <v>384081327.88999999</v>
      </c>
      <c r="G175" s="844">
        <v>668329573.29999995</v>
      </c>
      <c r="H175" s="842">
        <f t="shared" si="4"/>
        <v>0.3649537718164122</v>
      </c>
    </row>
    <row r="176" spans="1:8" x14ac:dyDescent="0.2">
      <c r="A176" s="843" t="s">
        <v>2034</v>
      </c>
      <c r="B176" s="275" t="s">
        <v>3241</v>
      </c>
      <c r="C176" s="844">
        <v>1033638115.39</v>
      </c>
      <c r="D176" s="844">
        <v>-3825720.54</v>
      </c>
      <c r="E176" s="844">
        <f t="shared" si="5"/>
        <v>1029812394.85</v>
      </c>
      <c r="F176" s="844">
        <v>377209614.44</v>
      </c>
      <c r="G176" s="844">
        <v>652602780.40999997</v>
      </c>
      <c r="H176" s="842">
        <f t="shared" si="4"/>
        <v>0.36628964297418798</v>
      </c>
    </row>
    <row r="177" spans="1:8" x14ac:dyDescent="0.2">
      <c r="A177" s="843" t="s">
        <v>2035</v>
      </c>
      <c r="B177" s="275" t="s">
        <v>275</v>
      </c>
      <c r="C177" s="844">
        <v>29487742.34</v>
      </c>
      <c r="D177" s="844">
        <v>-6889236</v>
      </c>
      <c r="E177" s="844">
        <f t="shared" si="5"/>
        <v>22598506.34</v>
      </c>
      <c r="F177" s="844">
        <v>6871713.4500000002</v>
      </c>
      <c r="G177" s="844">
        <v>15726792.890000001</v>
      </c>
      <c r="H177" s="842">
        <f t="shared" si="4"/>
        <v>0.30407821413563391</v>
      </c>
    </row>
    <row r="178" spans="1:8" x14ac:dyDescent="0.2">
      <c r="A178" s="843" t="s">
        <v>2036</v>
      </c>
      <c r="B178" s="275" t="s">
        <v>276</v>
      </c>
      <c r="C178" s="844">
        <v>407396616.79000002</v>
      </c>
      <c r="D178" s="844">
        <v>7798736.5800000001</v>
      </c>
      <c r="E178" s="844">
        <f t="shared" si="5"/>
        <v>415195353.37</v>
      </c>
      <c r="F178" s="844">
        <v>193924142.55000001</v>
      </c>
      <c r="G178" s="844">
        <v>221271210.81999999</v>
      </c>
      <c r="H178" s="842">
        <f t="shared" si="4"/>
        <v>0.46706722745325413</v>
      </c>
    </row>
    <row r="179" spans="1:8" x14ac:dyDescent="0.2">
      <c r="A179" s="843" t="s">
        <v>2037</v>
      </c>
      <c r="B179" s="275" t="s">
        <v>277</v>
      </c>
      <c r="C179" s="844">
        <v>7600000</v>
      </c>
      <c r="D179" s="844">
        <v>6815000</v>
      </c>
      <c r="E179" s="844">
        <f t="shared" si="5"/>
        <v>14415000</v>
      </c>
      <c r="F179" s="844">
        <v>4742488</v>
      </c>
      <c r="G179" s="844">
        <v>9672512</v>
      </c>
      <c r="H179" s="842">
        <f t="shared" si="4"/>
        <v>0.3289967395074575</v>
      </c>
    </row>
    <row r="180" spans="1:8" x14ac:dyDescent="0.2">
      <c r="A180" s="843" t="s">
        <v>2038</v>
      </c>
      <c r="B180" s="275" t="s">
        <v>277</v>
      </c>
      <c r="C180" s="844">
        <v>7600000</v>
      </c>
      <c r="D180" s="844">
        <v>6815000</v>
      </c>
      <c r="E180" s="844">
        <f t="shared" si="5"/>
        <v>14415000</v>
      </c>
      <c r="F180" s="844">
        <v>4742488</v>
      </c>
      <c r="G180" s="844">
        <v>9672512</v>
      </c>
      <c r="H180" s="842">
        <f t="shared" si="4"/>
        <v>0.3289967395074575</v>
      </c>
    </row>
    <row r="181" spans="1:8" x14ac:dyDescent="0.2">
      <c r="A181" s="843" t="s">
        <v>2039</v>
      </c>
      <c r="B181" s="275" t="s">
        <v>278</v>
      </c>
      <c r="C181" s="844">
        <v>26708882</v>
      </c>
      <c r="D181" s="844">
        <v>-2525575</v>
      </c>
      <c r="E181" s="844">
        <f t="shared" si="5"/>
        <v>24183307</v>
      </c>
      <c r="F181" s="844">
        <v>10819109.449999999</v>
      </c>
      <c r="G181" s="844">
        <v>13364197.550000001</v>
      </c>
      <c r="H181" s="842">
        <f t="shared" si="4"/>
        <v>0.44737923767001758</v>
      </c>
    </row>
    <row r="182" spans="1:8" x14ac:dyDescent="0.2">
      <c r="A182" s="843" t="s">
        <v>2040</v>
      </c>
      <c r="B182" s="275" t="s">
        <v>278</v>
      </c>
      <c r="C182" s="844">
        <v>26708882</v>
      </c>
      <c r="D182" s="844">
        <v>-2525575</v>
      </c>
      <c r="E182" s="844">
        <f t="shared" si="5"/>
        <v>24183307</v>
      </c>
      <c r="F182" s="844">
        <v>10819109.449999999</v>
      </c>
      <c r="G182" s="844">
        <v>13364197.550000001</v>
      </c>
      <c r="H182" s="842">
        <f t="shared" si="4"/>
        <v>0.44737923767001758</v>
      </c>
    </row>
    <row r="183" spans="1:8" x14ac:dyDescent="0.2">
      <c r="A183" s="843" t="s">
        <v>2041</v>
      </c>
      <c r="B183" s="275" t="s">
        <v>279</v>
      </c>
      <c r="C183" s="844">
        <v>339957734.79000002</v>
      </c>
      <c r="D183" s="844">
        <v>987770.54</v>
      </c>
      <c r="E183" s="844">
        <f t="shared" si="5"/>
        <v>340945505.33000004</v>
      </c>
      <c r="F183" s="844">
        <v>128367657.5</v>
      </c>
      <c r="G183" s="844">
        <v>212577847.83000001</v>
      </c>
      <c r="H183" s="842">
        <f t="shared" si="4"/>
        <v>0.37650491205553027</v>
      </c>
    </row>
    <row r="184" spans="1:8" x14ac:dyDescent="0.2">
      <c r="A184" s="843" t="s">
        <v>2042</v>
      </c>
      <c r="B184" s="275" t="s">
        <v>279</v>
      </c>
      <c r="C184" s="844">
        <v>339957734.79000002</v>
      </c>
      <c r="D184" s="844">
        <v>987770.54</v>
      </c>
      <c r="E184" s="844">
        <f t="shared" si="5"/>
        <v>340945505.33000004</v>
      </c>
      <c r="F184" s="844">
        <v>128367657.5</v>
      </c>
      <c r="G184" s="844">
        <v>212577847.83000001</v>
      </c>
      <c r="H184" s="842">
        <f t="shared" si="4"/>
        <v>0.37650491205553027</v>
      </c>
    </row>
    <row r="185" spans="1:8" x14ac:dyDescent="0.2">
      <c r="A185" s="843" t="s">
        <v>2043</v>
      </c>
      <c r="B185" s="275" t="s">
        <v>3242</v>
      </c>
      <c r="C185" s="844">
        <v>33130000</v>
      </c>
      <c r="D185" s="844">
        <v>2521541.04</v>
      </c>
      <c r="E185" s="844">
        <f t="shared" si="5"/>
        <v>35651541.039999999</v>
      </c>
      <c r="F185" s="844">
        <v>49994887.600000001</v>
      </c>
      <c r="G185" s="844">
        <v>-14343346.560000001</v>
      </c>
      <c r="H185" s="842">
        <f t="shared" si="4"/>
        <v>1.4023205208410818</v>
      </c>
    </row>
    <row r="186" spans="1:8" x14ac:dyDescent="0.2">
      <c r="A186" s="843" t="s">
        <v>2044</v>
      </c>
      <c r="B186" s="275" t="s">
        <v>280</v>
      </c>
      <c r="C186" s="844">
        <v>33130000</v>
      </c>
      <c r="D186" s="844">
        <v>2521541.04</v>
      </c>
      <c r="E186" s="844">
        <f t="shared" si="5"/>
        <v>35651541.039999999</v>
      </c>
      <c r="F186" s="844">
        <v>49994887.600000001</v>
      </c>
      <c r="G186" s="844">
        <v>-14343346.560000001</v>
      </c>
      <c r="H186" s="842">
        <f t="shared" si="4"/>
        <v>1.4023205208410818</v>
      </c>
    </row>
    <row r="187" spans="1:8" x14ac:dyDescent="0.2">
      <c r="A187" s="843" t="s">
        <v>2045</v>
      </c>
      <c r="B187" s="275" t="s">
        <v>281</v>
      </c>
      <c r="C187" s="844">
        <v>988019384.30999994</v>
      </c>
      <c r="D187" s="844">
        <v>20927.93</v>
      </c>
      <c r="E187" s="844">
        <f t="shared" si="5"/>
        <v>988040312.23999989</v>
      </c>
      <c r="F187" s="844">
        <v>333136619.44999999</v>
      </c>
      <c r="G187" s="844">
        <v>654903692.78999996</v>
      </c>
      <c r="H187" s="842">
        <f t="shared" si="4"/>
        <v>0.33716905608308767</v>
      </c>
    </row>
    <row r="188" spans="1:8" x14ac:dyDescent="0.2">
      <c r="A188" s="843" t="s">
        <v>2046</v>
      </c>
      <c r="B188" s="275" t="s">
        <v>3243</v>
      </c>
      <c r="C188" s="844">
        <v>436879122.69999999</v>
      </c>
      <c r="D188" s="844">
        <v>9237392.5800000001</v>
      </c>
      <c r="E188" s="844">
        <f t="shared" si="5"/>
        <v>446116515.27999997</v>
      </c>
      <c r="F188" s="844">
        <v>95122318.819999993</v>
      </c>
      <c r="G188" s="844">
        <v>350994196.45999998</v>
      </c>
      <c r="H188" s="842">
        <f t="shared" si="4"/>
        <v>0.21322303829145969</v>
      </c>
    </row>
    <row r="189" spans="1:8" x14ac:dyDescent="0.2">
      <c r="A189" s="843" t="s">
        <v>2047</v>
      </c>
      <c r="B189" s="275" t="s">
        <v>3243</v>
      </c>
      <c r="C189" s="844">
        <v>436879122.69999999</v>
      </c>
      <c r="D189" s="844">
        <v>9237392.5800000001</v>
      </c>
      <c r="E189" s="844">
        <f t="shared" si="5"/>
        <v>446116515.27999997</v>
      </c>
      <c r="F189" s="844">
        <v>95122318.819999993</v>
      </c>
      <c r="G189" s="844">
        <v>350994196.45999998</v>
      </c>
      <c r="H189" s="842">
        <f t="shared" si="4"/>
        <v>0.21322303829145969</v>
      </c>
    </row>
    <row r="190" spans="1:8" x14ac:dyDescent="0.2">
      <c r="A190" s="843" t="s">
        <v>2048</v>
      </c>
      <c r="B190" s="275" t="s">
        <v>282</v>
      </c>
      <c r="C190" s="844">
        <v>88478940.290000007</v>
      </c>
      <c r="D190" s="844">
        <v>-6633128.75</v>
      </c>
      <c r="E190" s="844">
        <f t="shared" si="5"/>
        <v>81845811.540000007</v>
      </c>
      <c r="F190" s="844">
        <v>41843723.850000001</v>
      </c>
      <c r="G190" s="844">
        <v>40002087.689999998</v>
      </c>
      <c r="H190" s="842">
        <f t="shared" si="4"/>
        <v>0.51125064389580854</v>
      </c>
    </row>
    <row r="191" spans="1:8" x14ac:dyDescent="0.2">
      <c r="A191" s="843" t="s">
        <v>2049</v>
      </c>
      <c r="B191" s="275" t="s">
        <v>282</v>
      </c>
      <c r="C191" s="844">
        <v>88478940.290000007</v>
      </c>
      <c r="D191" s="844">
        <v>-6633128.75</v>
      </c>
      <c r="E191" s="844">
        <f t="shared" si="5"/>
        <v>81845811.540000007</v>
      </c>
      <c r="F191" s="844">
        <v>41843723.850000001</v>
      </c>
      <c r="G191" s="844">
        <v>40002087.689999998</v>
      </c>
      <c r="H191" s="842">
        <f t="shared" si="4"/>
        <v>0.51125064389580854</v>
      </c>
    </row>
    <row r="192" spans="1:8" x14ac:dyDescent="0.2">
      <c r="A192" s="843" t="s">
        <v>2050</v>
      </c>
      <c r="B192" s="275" t="s">
        <v>283</v>
      </c>
      <c r="C192" s="844">
        <v>54432408.340000004</v>
      </c>
      <c r="D192" s="844">
        <v>1780754.31</v>
      </c>
      <c r="E192" s="844">
        <f t="shared" si="5"/>
        <v>56213162.650000006</v>
      </c>
      <c r="F192" s="844">
        <v>26923840.899999999</v>
      </c>
      <c r="G192" s="844">
        <v>29289321.75</v>
      </c>
      <c r="H192" s="842">
        <f t="shared" si="4"/>
        <v>0.47895972456906399</v>
      </c>
    </row>
    <row r="193" spans="1:8" x14ac:dyDescent="0.2">
      <c r="A193" s="843" t="s">
        <v>2051</v>
      </c>
      <c r="B193" s="275" t="s">
        <v>283</v>
      </c>
      <c r="C193" s="844">
        <v>54432408.340000004</v>
      </c>
      <c r="D193" s="844">
        <v>1780754.31</v>
      </c>
      <c r="E193" s="844">
        <f t="shared" si="5"/>
        <v>56213162.650000006</v>
      </c>
      <c r="F193" s="844">
        <v>26923840.899999999</v>
      </c>
      <c r="G193" s="844">
        <v>29289321.75</v>
      </c>
      <c r="H193" s="842">
        <f t="shared" si="4"/>
        <v>0.47895972456906399</v>
      </c>
    </row>
    <row r="194" spans="1:8" x14ac:dyDescent="0.2">
      <c r="A194" s="843" t="s">
        <v>2052</v>
      </c>
      <c r="B194" s="275" t="s">
        <v>1028</v>
      </c>
      <c r="C194" s="844">
        <v>235065192.22</v>
      </c>
      <c r="D194" s="844">
        <v>-12695441.57</v>
      </c>
      <c r="E194" s="844">
        <f t="shared" si="5"/>
        <v>222369750.65000001</v>
      </c>
      <c r="F194" s="844">
        <v>96005388.469999999</v>
      </c>
      <c r="G194" s="844">
        <v>126364362.18000001</v>
      </c>
      <c r="H194" s="842">
        <f t="shared" si="4"/>
        <v>0.43173762703501956</v>
      </c>
    </row>
    <row r="195" spans="1:8" x14ac:dyDescent="0.2">
      <c r="A195" s="843" t="s">
        <v>2053</v>
      </c>
      <c r="B195" s="275" t="s">
        <v>238</v>
      </c>
      <c r="C195" s="844">
        <v>235065192.22</v>
      </c>
      <c r="D195" s="844">
        <v>-12695441.57</v>
      </c>
      <c r="E195" s="844">
        <f t="shared" si="5"/>
        <v>222369750.65000001</v>
      </c>
      <c r="F195" s="844">
        <v>96005388.469999999</v>
      </c>
      <c r="G195" s="844">
        <v>126364362.18000001</v>
      </c>
      <c r="H195" s="842">
        <f t="shared" si="4"/>
        <v>0.43173762703501956</v>
      </c>
    </row>
    <row r="196" spans="1:8" x14ac:dyDescent="0.2">
      <c r="A196" s="843" t="s">
        <v>2054</v>
      </c>
      <c r="B196" s="275" t="s">
        <v>284</v>
      </c>
      <c r="C196" s="844">
        <v>30944956.5</v>
      </c>
      <c r="D196" s="844">
        <v>-498705</v>
      </c>
      <c r="E196" s="844">
        <f t="shared" si="5"/>
        <v>30446251.5</v>
      </c>
      <c r="F196" s="844">
        <v>6599774.0499999998</v>
      </c>
      <c r="G196" s="844">
        <v>23846477.449999999</v>
      </c>
      <c r="H196" s="842">
        <f t="shared" si="4"/>
        <v>0.21676803300399722</v>
      </c>
    </row>
    <row r="197" spans="1:8" x14ac:dyDescent="0.2">
      <c r="A197" s="843" t="s">
        <v>2055</v>
      </c>
      <c r="B197" s="275" t="s">
        <v>284</v>
      </c>
      <c r="C197" s="844">
        <v>30944956.5</v>
      </c>
      <c r="D197" s="844">
        <v>-498705</v>
      </c>
      <c r="E197" s="844">
        <f t="shared" si="5"/>
        <v>30446251.5</v>
      </c>
      <c r="F197" s="844">
        <v>6599774.0499999998</v>
      </c>
      <c r="G197" s="844">
        <v>23846477.449999999</v>
      </c>
      <c r="H197" s="842">
        <f t="shared" ref="H197:H260" si="6">F197/E197</f>
        <v>0.21676803300399722</v>
      </c>
    </row>
    <row r="198" spans="1:8" x14ac:dyDescent="0.2">
      <c r="A198" s="843" t="s">
        <v>2056</v>
      </c>
      <c r="B198" s="275" t="s">
        <v>239</v>
      </c>
      <c r="C198" s="844">
        <v>50041632</v>
      </c>
      <c r="D198" s="844">
        <v>2650115.36</v>
      </c>
      <c r="E198" s="844">
        <f t="shared" ref="E198:E261" si="7">C198+D198</f>
        <v>52691747.359999999</v>
      </c>
      <c r="F198" s="844">
        <v>19568482.300000001</v>
      </c>
      <c r="G198" s="844">
        <v>33123265.059999999</v>
      </c>
      <c r="H198" s="842">
        <f t="shared" si="6"/>
        <v>0.37137660602341432</v>
      </c>
    </row>
    <row r="199" spans="1:8" x14ac:dyDescent="0.2">
      <c r="A199" s="843" t="s">
        <v>2057</v>
      </c>
      <c r="B199" s="275" t="s">
        <v>239</v>
      </c>
      <c r="C199" s="844">
        <v>50041632</v>
      </c>
      <c r="D199" s="844">
        <v>2650115.36</v>
      </c>
      <c r="E199" s="844">
        <f t="shared" si="7"/>
        <v>52691747.359999999</v>
      </c>
      <c r="F199" s="844">
        <v>19568482.300000001</v>
      </c>
      <c r="G199" s="844">
        <v>33123265.059999999</v>
      </c>
      <c r="H199" s="842">
        <f t="shared" si="6"/>
        <v>0.37137660602341432</v>
      </c>
    </row>
    <row r="200" spans="1:8" x14ac:dyDescent="0.2">
      <c r="A200" s="843" t="s">
        <v>2058</v>
      </c>
      <c r="B200" s="275" t="s">
        <v>285</v>
      </c>
      <c r="C200" s="844">
        <v>92177132.260000005</v>
      </c>
      <c r="D200" s="844">
        <v>6179941</v>
      </c>
      <c r="E200" s="844">
        <f t="shared" si="7"/>
        <v>98357073.260000005</v>
      </c>
      <c r="F200" s="844">
        <v>47073091.060000002</v>
      </c>
      <c r="G200" s="844">
        <v>51283982.200000003</v>
      </c>
      <c r="H200" s="842">
        <f t="shared" si="6"/>
        <v>0.4785938570535298</v>
      </c>
    </row>
    <row r="201" spans="1:8" x14ac:dyDescent="0.2">
      <c r="A201" s="843" t="s">
        <v>2059</v>
      </c>
      <c r="B201" s="275" t="s">
        <v>285</v>
      </c>
      <c r="C201" s="844">
        <v>92177132.260000005</v>
      </c>
      <c r="D201" s="844">
        <v>6179941</v>
      </c>
      <c r="E201" s="844">
        <f t="shared" si="7"/>
        <v>98357073.260000005</v>
      </c>
      <c r="F201" s="844">
        <v>47073091.060000002</v>
      </c>
      <c r="G201" s="844">
        <v>51283982.200000003</v>
      </c>
      <c r="H201" s="842">
        <f t="shared" si="6"/>
        <v>0.4785938570535298</v>
      </c>
    </row>
    <row r="202" spans="1:8" x14ac:dyDescent="0.2">
      <c r="A202" s="843" t="s">
        <v>2060</v>
      </c>
      <c r="B202" s="275" t="s">
        <v>240</v>
      </c>
      <c r="C202" s="844">
        <v>1126045500.25</v>
      </c>
      <c r="D202" s="844">
        <v>68023963.439999998</v>
      </c>
      <c r="E202" s="844">
        <f t="shared" si="7"/>
        <v>1194069463.6900001</v>
      </c>
      <c r="F202" s="844">
        <v>379169765.69999999</v>
      </c>
      <c r="G202" s="844">
        <v>814899697.99000001</v>
      </c>
      <c r="H202" s="842">
        <f t="shared" si="6"/>
        <v>0.31754414397991726</v>
      </c>
    </row>
    <row r="203" spans="1:8" x14ac:dyDescent="0.2">
      <c r="A203" s="843" t="s">
        <v>2061</v>
      </c>
      <c r="B203" s="275" t="s">
        <v>286</v>
      </c>
      <c r="C203" s="844">
        <v>96184645.590000004</v>
      </c>
      <c r="D203" s="844">
        <v>-4195821.16</v>
      </c>
      <c r="E203" s="844">
        <f t="shared" si="7"/>
        <v>91988824.430000007</v>
      </c>
      <c r="F203" s="844">
        <v>25641513.600000001</v>
      </c>
      <c r="G203" s="844">
        <v>66347310.829999998</v>
      </c>
      <c r="H203" s="842">
        <f t="shared" si="6"/>
        <v>0.27874596461999812</v>
      </c>
    </row>
    <row r="204" spans="1:8" x14ac:dyDescent="0.2">
      <c r="A204" s="843" t="s">
        <v>2062</v>
      </c>
      <c r="B204" s="275" t="s">
        <v>286</v>
      </c>
      <c r="C204" s="844">
        <v>96184645.590000004</v>
      </c>
      <c r="D204" s="844">
        <v>-4195821.16</v>
      </c>
      <c r="E204" s="844">
        <f t="shared" si="7"/>
        <v>91988824.430000007</v>
      </c>
      <c r="F204" s="844">
        <v>25641513.600000001</v>
      </c>
      <c r="G204" s="844">
        <v>66347310.829999998</v>
      </c>
      <c r="H204" s="842">
        <f t="shared" si="6"/>
        <v>0.27874596461999812</v>
      </c>
    </row>
    <row r="205" spans="1:8" x14ac:dyDescent="0.2">
      <c r="A205" s="843" t="s">
        <v>2063</v>
      </c>
      <c r="B205" s="275" t="s">
        <v>1165</v>
      </c>
      <c r="C205" s="844">
        <v>1029860854.66</v>
      </c>
      <c r="D205" s="844">
        <v>72219784.599999994</v>
      </c>
      <c r="E205" s="844">
        <f t="shared" si="7"/>
        <v>1102080639.26</v>
      </c>
      <c r="F205" s="844">
        <v>353528252.10000002</v>
      </c>
      <c r="G205" s="844">
        <v>748552387.15999997</v>
      </c>
      <c r="H205" s="842">
        <f t="shared" si="6"/>
        <v>0.32078256300498947</v>
      </c>
    </row>
    <row r="206" spans="1:8" x14ac:dyDescent="0.2">
      <c r="A206" s="843" t="s">
        <v>2064</v>
      </c>
      <c r="B206" s="275" t="s">
        <v>1165</v>
      </c>
      <c r="C206" s="844">
        <v>1029860854.66</v>
      </c>
      <c r="D206" s="844">
        <v>72219784.599999994</v>
      </c>
      <c r="E206" s="844">
        <f t="shared" si="7"/>
        <v>1102080639.26</v>
      </c>
      <c r="F206" s="844">
        <v>353528252.10000002</v>
      </c>
      <c r="G206" s="844">
        <v>748552387.15999997</v>
      </c>
      <c r="H206" s="842">
        <f t="shared" si="6"/>
        <v>0.32078256300498947</v>
      </c>
    </row>
    <row r="207" spans="1:8" x14ac:dyDescent="0.2">
      <c r="A207" s="843" t="s">
        <v>2065</v>
      </c>
      <c r="B207" s="275" t="s">
        <v>3244</v>
      </c>
      <c r="C207" s="844">
        <v>3890753070.4899998</v>
      </c>
      <c r="D207" s="844">
        <v>-265446375.31</v>
      </c>
      <c r="E207" s="844">
        <f t="shared" si="7"/>
        <v>3625306695.1799998</v>
      </c>
      <c r="F207" s="844">
        <v>915777414.77999997</v>
      </c>
      <c r="G207" s="844">
        <v>2709529280.4000001</v>
      </c>
      <c r="H207" s="842">
        <f t="shared" si="6"/>
        <v>0.25260688040478485</v>
      </c>
    </row>
    <row r="208" spans="1:8" x14ac:dyDescent="0.2">
      <c r="A208" s="843" t="s">
        <v>2066</v>
      </c>
      <c r="B208" s="275" t="s">
        <v>287</v>
      </c>
      <c r="C208" s="844">
        <v>921640431.75999999</v>
      </c>
      <c r="D208" s="844">
        <v>-53594336.799999997</v>
      </c>
      <c r="E208" s="844">
        <f t="shared" si="7"/>
        <v>868046094.96000004</v>
      </c>
      <c r="F208" s="844">
        <v>301556926.51999998</v>
      </c>
      <c r="G208" s="844">
        <v>566489168.44000006</v>
      </c>
      <c r="H208" s="842">
        <f t="shared" si="6"/>
        <v>0.34739736549807976</v>
      </c>
    </row>
    <row r="209" spans="1:8" x14ac:dyDescent="0.2">
      <c r="A209" s="843" t="s">
        <v>2067</v>
      </c>
      <c r="B209" s="275" t="s">
        <v>1166</v>
      </c>
      <c r="C209" s="844">
        <v>193166068.21000001</v>
      </c>
      <c r="D209" s="844">
        <v>-5354976.0999999996</v>
      </c>
      <c r="E209" s="844">
        <f t="shared" si="7"/>
        <v>187811092.11000001</v>
      </c>
      <c r="F209" s="844">
        <v>71518104.060000002</v>
      </c>
      <c r="G209" s="844">
        <v>116292988.05</v>
      </c>
      <c r="H209" s="842">
        <f t="shared" si="6"/>
        <v>0.38079808416274052</v>
      </c>
    </row>
    <row r="210" spans="1:8" s="232" customFormat="1" x14ac:dyDescent="0.2">
      <c r="A210" s="843" t="s">
        <v>2068</v>
      </c>
      <c r="B210" s="275" t="s">
        <v>288</v>
      </c>
      <c r="C210" s="844">
        <v>228063499.37</v>
      </c>
      <c r="D210" s="844">
        <v>-15602699.859999999</v>
      </c>
      <c r="E210" s="844">
        <f t="shared" si="7"/>
        <v>212460799.50999999</v>
      </c>
      <c r="F210" s="844">
        <v>82095140.200000003</v>
      </c>
      <c r="G210" s="844">
        <v>130365659.31</v>
      </c>
      <c r="H210" s="842">
        <f t="shared" si="6"/>
        <v>0.38640135210512561</v>
      </c>
    </row>
    <row r="211" spans="1:8" x14ac:dyDescent="0.2">
      <c r="A211" s="843" t="s">
        <v>2069</v>
      </c>
      <c r="B211" s="275" t="s">
        <v>289</v>
      </c>
      <c r="C211" s="844">
        <v>31367500</v>
      </c>
      <c r="D211" s="844">
        <v>-3700000</v>
      </c>
      <c r="E211" s="844">
        <f t="shared" si="7"/>
        <v>27667500</v>
      </c>
      <c r="F211" s="844">
        <v>-642085.39</v>
      </c>
      <c r="G211" s="844">
        <v>28309585.390000001</v>
      </c>
      <c r="H211" s="842">
        <f t="shared" si="6"/>
        <v>-2.3207206650402098E-2</v>
      </c>
    </row>
    <row r="212" spans="1:8" x14ac:dyDescent="0.2">
      <c r="A212" s="843" t="s">
        <v>2070</v>
      </c>
      <c r="B212" s="275" t="s">
        <v>3245</v>
      </c>
      <c r="C212" s="844">
        <v>466084654.18000001</v>
      </c>
      <c r="D212" s="844">
        <v>-27436660.84</v>
      </c>
      <c r="E212" s="844">
        <f t="shared" si="7"/>
        <v>438647993.34000003</v>
      </c>
      <c r="F212" s="844">
        <v>148473417.65000001</v>
      </c>
      <c r="G212" s="844">
        <v>290174575.69</v>
      </c>
      <c r="H212" s="842">
        <f t="shared" si="6"/>
        <v>0.3384796463320805</v>
      </c>
    </row>
    <row r="213" spans="1:8" x14ac:dyDescent="0.2">
      <c r="A213" s="843" t="s">
        <v>2071</v>
      </c>
      <c r="B213" s="275" t="s">
        <v>1704</v>
      </c>
      <c r="C213" s="844">
        <v>2958710</v>
      </c>
      <c r="D213" s="844">
        <v>-1500000</v>
      </c>
      <c r="E213" s="844">
        <f t="shared" si="7"/>
        <v>1458710</v>
      </c>
      <c r="F213" s="844">
        <v>112350</v>
      </c>
      <c r="G213" s="844">
        <v>1346360</v>
      </c>
      <c r="H213" s="842">
        <f t="shared" si="6"/>
        <v>7.7020106806699073E-2</v>
      </c>
    </row>
    <row r="214" spans="1:8" x14ac:dyDescent="0.2">
      <c r="A214" s="843" t="s">
        <v>2072</v>
      </c>
      <c r="B214" s="275" t="s">
        <v>290</v>
      </c>
      <c r="C214" s="844">
        <v>298637076</v>
      </c>
      <c r="D214" s="844">
        <v>7087573.2599999998</v>
      </c>
      <c r="E214" s="844">
        <f t="shared" si="7"/>
        <v>305724649.25999999</v>
      </c>
      <c r="F214" s="844">
        <v>124172496.12</v>
      </c>
      <c r="G214" s="844">
        <v>181552153.13999999</v>
      </c>
      <c r="H214" s="842">
        <f t="shared" si="6"/>
        <v>0.40615794774990138</v>
      </c>
    </row>
    <row r="215" spans="1:8" x14ac:dyDescent="0.2">
      <c r="A215" s="843" t="s">
        <v>2073</v>
      </c>
      <c r="B215" s="275" t="s">
        <v>290</v>
      </c>
      <c r="C215" s="844">
        <v>298637076</v>
      </c>
      <c r="D215" s="844">
        <v>7087573.2599999998</v>
      </c>
      <c r="E215" s="844">
        <f t="shared" si="7"/>
        <v>305724649.25999999</v>
      </c>
      <c r="F215" s="844">
        <v>124172496.12</v>
      </c>
      <c r="G215" s="844">
        <v>181552153.13999999</v>
      </c>
      <c r="H215" s="842">
        <f t="shared" si="6"/>
        <v>0.40615794774990138</v>
      </c>
    </row>
    <row r="216" spans="1:8" x14ac:dyDescent="0.2">
      <c r="A216" s="843" t="s">
        <v>2074</v>
      </c>
      <c r="B216" s="275" t="s">
        <v>291</v>
      </c>
      <c r="C216" s="844">
        <v>891396461.80999994</v>
      </c>
      <c r="D216" s="844">
        <v>-1775949.3</v>
      </c>
      <c r="E216" s="844">
        <f t="shared" si="7"/>
        <v>889620512.50999999</v>
      </c>
      <c r="F216" s="844">
        <v>102973796.5</v>
      </c>
      <c r="G216" s="844">
        <v>786646716.00999999</v>
      </c>
      <c r="H216" s="842">
        <f t="shared" si="6"/>
        <v>0.11575024974353039</v>
      </c>
    </row>
    <row r="217" spans="1:8" x14ac:dyDescent="0.2">
      <c r="A217" s="843" t="s">
        <v>2075</v>
      </c>
      <c r="B217" s="275" t="s">
        <v>3246</v>
      </c>
      <c r="C217" s="844">
        <v>891396461.80999994</v>
      </c>
      <c r="D217" s="844">
        <v>-1775949.3</v>
      </c>
      <c r="E217" s="844">
        <f t="shared" si="7"/>
        <v>889620512.50999999</v>
      </c>
      <c r="F217" s="844">
        <v>102973796.5</v>
      </c>
      <c r="G217" s="844">
        <v>786646716.00999999</v>
      </c>
      <c r="H217" s="842">
        <f t="shared" si="6"/>
        <v>0.11575024974353039</v>
      </c>
    </row>
    <row r="218" spans="1:8" x14ac:dyDescent="0.2">
      <c r="A218" s="843" t="s">
        <v>2076</v>
      </c>
      <c r="B218" s="275" t="s">
        <v>379</v>
      </c>
      <c r="C218" s="844">
        <v>348948914.12</v>
      </c>
      <c r="D218" s="844">
        <v>10404075.380000001</v>
      </c>
      <c r="E218" s="844">
        <f t="shared" si="7"/>
        <v>359352989.5</v>
      </c>
      <c r="F218" s="844">
        <v>122774162.95</v>
      </c>
      <c r="G218" s="844">
        <v>236578826.55000001</v>
      </c>
      <c r="H218" s="842">
        <f t="shared" si="6"/>
        <v>0.34165337853687178</v>
      </c>
    </row>
    <row r="219" spans="1:8" x14ac:dyDescent="0.2">
      <c r="A219" s="843" t="s">
        <v>2077</v>
      </c>
      <c r="B219" s="275" t="s">
        <v>379</v>
      </c>
      <c r="C219" s="844">
        <v>348948914.12</v>
      </c>
      <c r="D219" s="844">
        <v>10404075.380000001</v>
      </c>
      <c r="E219" s="844">
        <f t="shared" si="7"/>
        <v>359352989.5</v>
      </c>
      <c r="F219" s="844">
        <v>122774162.95</v>
      </c>
      <c r="G219" s="844">
        <v>236578826.55000001</v>
      </c>
      <c r="H219" s="842">
        <f t="shared" si="6"/>
        <v>0.34165337853687178</v>
      </c>
    </row>
    <row r="220" spans="1:8" x14ac:dyDescent="0.2">
      <c r="A220" s="843" t="s">
        <v>2078</v>
      </c>
      <c r="B220" s="275" t="s">
        <v>3247</v>
      </c>
      <c r="C220" s="844">
        <v>412605612.75999999</v>
      </c>
      <c r="D220" s="844">
        <v>-10368967.380000001</v>
      </c>
      <c r="E220" s="844">
        <f t="shared" si="7"/>
        <v>402236645.38</v>
      </c>
      <c r="F220" s="844">
        <v>174615688.86000001</v>
      </c>
      <c r="G220" s="844">
        <v>227620956.52000001</v>
      </c>
      <c r="H220" s="842">
        <f t="shared" si="6"/>
        <v>0.43411183656585423</v>
      </c>
    </row>
    <row r="221" spans="1:8" x14ac:dyDescent="0.2">
      <c r="A221" s="843" t="s">
        <v>2079</v>
      </c>
      <c r="B221" s="275" t="s">
        <v>1167</v>
      </c>
      <c r="C221" s="844">
        <v>412605612.75999999</v>
      </c>
      <c r="D221" s="844">
        <v>-10368967.380000001</v>
      </c>
      <c r="E221" s="844">
        <f t="shared" si="7"/>
        <v>402236645.38</v>
      </c>
      <c r="F221" s="844">
        <v>174615688.86000001</v>
      </c>
      <c r="G221" s="844">
        <v>227620956.52000001</v>
      </c>
      <c r="H221" s="842">
        <f t="shared" si="6"/>
        <v>0.43411183656585423</v>
      </c>
    </row>
    <row r="222" spans="1:8" x14ac:dyDescent="0.2">
      <c r="A222" s="843" t="s">
        <v>2080</v>
      </c>
      <c r="B222" s="275" t="s">
        <v>292</v>
      </c>
      <c r="C222" s="844">
        <v>51379796.850000001</v>
      </c>
      <c r="D222" s="844">
        <v>15433771.15</v>
      </c>
      <c r="E222" s="844">
        <f t="shared" si="7"/>
        <v>66813568</v>
      </c>
      <c r="F222" s="844">
        <v>33630216.600000001</v>
      </c>
      <c r="G222" s="844">
        <v>33183351.399999999</v>
      </c>
      <c r="H222" s="842">
        <f t="shared" si="6"/>
        <v>0.5033441201643355</v>
      </c>
    </row>
    <row r="223" spans="1:8" x14ac:dyDescent="0.2">
      <c r="A223" s="843" t="s">
        <v>2081</v>
      </c>
      <c r="B223" s="275" t="s">
        <v>292</v>
      </c>
      <c r="C223" s="844">
        <v>51379796.850000001</v>
      </c>
      <c r="D223" s="844">
        <v>15433771.15</v>
      </c>
      <c r="E223" s="844">
        <f t="shared" si="7"/>
        <v>66813568</v>
      </c>
      <c r="F223" s="844">
        <v>33630216.600000001</v>
      </c>
      <c r="G223" s="844">
        <v>33183351.399999999</v>
      </c>
      <c r="H223" s="842">
        <f t="shared" si="6"/>
        <v>0.5033441201643355</v>
      </c>
    </row>
    <row r="224" spans="1:8" x14ac:dyDescent="0.2">
      <c r="A224" s="843" t="s">
        <v>2082</v>
      </c>
      <c r="B224" s="275" t="s">
        <v>293</v>
      </c>
      <c r="C224" s="844">
        <v>28761753</v>
      </c>
      <c r="D224" s="844">
        <v>-153450.20000000001</v>
      </c>
      <c r="E224" s="844">
        <f t="shared" si="7"/>
        <v>28608302.800000001</v>
      </c>
      <c r="F224" s="844">
        <v>10662400.9</v>
      </c>
      <c r="G224" s="844">
        <v>17945901.899999999</v>
      </c>
      <c r="H224" s="842">
        <f t="shared" si="6"/>
        <v>0.37270302172556702</v>
      </c>
    </row>
    <row r="225" spans="1:8" x14ac:dyDescent="0.2">
      <c r="A225" s="843" t="s">
        <v>2083</v>
      </c>
      <c r="B225" s="275" t="s">
        <v>293</v>
      </c>
      <c r="C225" s="844">
        <v>28761753</v>
      </c>
      <c r="D225" s="844">
        <v>-153450.20000000001</v>
      </c>
      <c r="E225" s="844">
        <f t="shared" si="7"/>
        <v>28608302.800000001</v>
      </c>
      <c r="F225" s="844">
        <v>10662400.9</v>
      </c>
      <c r="G225" s="844">
        <v>17945901.899999999</v>
      </c>
      <c r="H225" s="842">
        <f t="shared" si="6"/>
        <v>0.37270302172556702</v>
      </c>
    </row>
    <row r="226" spans="1:8" x14ac:dyDescent="0.2">
      <c r="A226" s="843" t="s">
        <v>2084</v>
      </c>
      <c r="B226" s="275" t="s">
        <v>3248</v>
      </c>
      <c r="C226" s="844">
        <v>937383024.19000006</v>
      </c>
      <c r="D226" s="844">
        <v>-232479091.41999999</v>
      </c>
      <c r="E226" s="844">
        <f t="shared" si="7"/>
        <v>704903932.7700001</v>
      </c>
      <c r="F226" s="844">
        <v>45391726.329999998</v>
      </c>
      <c r="G226" s="844">
        <v>659512206.44000006</v>
      </c>
      <c r="H226" s="842">
        <f t="shared" si="6"/>
        <v>6.4394202131385553E-2</v>
      </c>
    </row>
    <row r="227" spans="1:8" x14ac:dyDescent="0.2">
      <c r="A227" s="843" t="s">
        <v>2085</v>
      </c>
      <c r="B227" s="275" t="s">
        <v>1559</v>
      </c>
      <c r="C227" s="844">
        <v>8609945</v>
      </c>
      <c r="D227" s="844">
        <v>694954.06</v>
      </c>
      <c r="E227" s="844">
        <f t="shared" si="7"/>
        <v>9304899.0600000005</v>
      </c>
      <c r="F227" s="844">
        <v>0</v>
      </c>
      <c r="G227" s="844">
        <v>9304899.0600000005</v>
      </c>
      <c r="H227" s="842">
        <f t="shared" si="6"/>
        <v>0</v>
      </c>
    </row>
    <row r="228" spans="1:8" x14ac:dyDescent="0.2">
      <c r="A228" s="843" t="s">
        <v>2086</v>
      </c>
      <c r="B228" s="275" t="s">
        <v>1560</v>
      </c>
      <c r="C228" s="844">
        <v>8475000</v>
      </c>
      <c r="D228" s="844">
        <v>0</v>
      </c>
      <c r="E228" s="844">
        <f t="shared" si="7"/>
        <v>8475000</v>
      </c>
      <c r="F228" s="844">
        <v>0</v>
      </c>
      <c r="G228" s="844">
        <v>8475000</v>
      </c>
      <c r="H228" s="842">
        <f t="shared" si="6"/>
        <v>0</v>
      </c>
    </row>
    <row r="229" spans="1:8" x14ac:dyDescent="0.2">
      <c r="A229" s="843" t="s">
        <v>2087</v>
      </c>
      <c r="B229" s="275" t="s">
        <v>3248</v>
      </c>
      <c r="C229" s="844">
        <v>875298079.19000006</v>
      </c>
      <c r="D229" s="844">
        <v>-232990590.38999999</v>
      </c>
      <c r="E229" s="844">
        <f t="shared" si="7"/>
        <v>642307488.80000007</v>
      </c>
      <c r="F229" s="844">
        <v>43051638.049999997</v>
      </c>
      <c r="G229" s="844">
        <v>599255850.75</v>
      </c>
      <c r="H229" s="842">
        <f t="shared" si="6"/>
        <v>6.7026523589864759E-2</v>
      </c>
    </row>
    <row r="230" spans="1:8" x14ac:dyDescent="0.2">
      <c r="A230" s="843" t="s">
        <v>2088</v>
      </c>
      <c r="B230" s="275" t="s">
        <v>4154</v>
      </c>
      <c r="C230" s="844">
        <v>45000000</v>
      </c>
      <c r="D230" s="844">
        <v>-183455.09</v>
      </c>
      <c r="E230" s="844">
        <f t="shared" si="7"/>
        <v>44816544.909999996</v>
      </c>
      <c r="F230" s="844">
        <v>2340088.2799999998</v>
      </c>
      <c r="G230" s="844">
        <v>42476456.630000003</v>
      </c>
      <c r="H230" s="842">
        <f t="shared" si="6"/>
        <v>5.2214830141398334E-2</v>
      </c>
    </row>
    <row r="231" spans="1:8" x14ac:dyDescent="0.2">
      <c r="A231" s="843"/>
      <c r="B231" s="275"/>
      <c r="C231" s="844"/>
      <c r="D231" s="844"/>
      <c r="E231" s="844"/>
      <c r="F231" s="844"/>
      <c r="G231" s="844"/>
      <c r="H231" s="842"/>
    </row>
    <row r="232" spans="1:8" x14ac:dyDescent="0.2">
      <c r="A232" s="840">
        <v>3</v>
      </c>
      <c r="B232" s="295" t="s">
        <v>294</v>
      </c>
      <c r="C232" s="841">
        <v>4468854621</v>
      </c>
      <c r="D232" s="841">
        <v>0</v>
      </c>
      <c r="E232" s="841">
        <f t="shared" si="7"/>
        <v>4468854621</v>
      </c>
      <c r="F232" s="841">
        <v>1188293945.1600001</v>
      </c>
      <c r="G232" s="841">
        <v>3280560675.8400002</v>
      </c>
      <c r="H232" s="842">
        <f t="shared" si="6"/>
        <v>0.26590570648147294</v>
      </c>
    </row>
    <row r="233" spans="1:8" x14ac:dyDescent="0.2">
      <c r="A233" s="843" t="s">
        <v>2089</v>
      </c>
      <c r="B233" s="275" t="s">
        <v>295</v>
      </c>
      <c r="C233" s="844">
        <v>4292804621</v>
      </c>
      <c r="D233" s="844">
        <v>0</v>
      </c>
      <c r="E233" s="844">
        <f t="shared" si="7"/>
        <v>4292804621</v>
      </c>
      <c r="F233" s="844">
        <v>1159086330.48</v>
      </c>
      <c r="G233" s="844">
        <v>3133718290.52</v>
      </c>
      <c r="H233" s="842">
        <f t="shared" si="6"/>
        <v>0.27000677478072443</v>
      </c>
    </row>
    <row r="234" spans="1:8" x14ac:dyDescent="0.2">
      <c r="A234" s="843" t="s">
        <v>2090</v>
      </c>
      <c r="B234" s="275" t="s">
        <v>296</v>
      </c>
      <c r="C234" s="844">
        <v>16700000</v>
      </c>
      <c r="D234" s="844">
        <v>0</v>
      </c>
      <c r="E234" s="844">
        <f t="shared" si="7"/>
        <v>16700000</v>
      </c>
      <c r="F234" s="844">
        <v>6576641.0499999998</v>
      </c>
      <c r="G234" s="844">
        <v>10123358.949999999</v>
      </c>
      <c r="H234" s="842">
        <f t="shared" si="6"/>
        <v>0.39381084131736527</v>
      </c>
    </row>
    <row r="235" spans="1:8" x14ac:dyDescent="0.2">
      <c r="A235" s="843" t="s">
        <v>2091</v>
      </c>
      <c r="B235" s="275" t="s">
        <v>296</v>
      </c>
      <c r="C235" s="844">
        <v>16700000</v>
      </c>
      <c r="D235" s="844">
        <v>0</v>
      </c>
      <c r="E235" s="844">
        <f t="shared" si="7"/>
        <v>16700000</v>
      </c>
      <c r="F235" s="844">
        <v>6576641.0499999998</v>
      </c>
      <c r="G235" s="844">
        <v>10123358.949999999</v>
      </c>
      <c r="H235" s="842">
        <f t="shared" si="6"/>
        <v>0.39381084131736527</v>
      </c>
    </row>
    <row r="236" spans="1:8" s="232" customFormat="1" x14ac:dyDescent="0.2">
      <c r="A236" s="843" t="s">
        <v>2536</v>
      </c>
      <c r="B236" s="275" t="s">
        <v>2537</v>
      </c>
      <c r="C236" s="844">
        <v>4276104621</v>
      </c>
      <c r="D236" s="844">
        <v>0</v>
      </c>
      <c r="E236" s="844">
        <f t="shared" si="7"/>
        <v>4276104621</v>
      </c>
      <c r="F236" s="844">
        <v>1152509689.4300001</v>
      </c>
      <c r="G236" s="844">
        <v>3123594931.5700002</v>
      </c>
      <c r="H236" s="842">
        <f t="shared" si="6"/>
        <v>0.26952326745468563</v>
      </c>
    </row>
    <row r="237" spans="1:8" s="232" customFormat="1" x14ac:dyDescent="0.2">
      <c r="A237" s="843" t="s">
        <v>2538</v>
      </c>
      <c r="B237" s="275" t="s">
        <v>2537</v>
      </c>
      <c r="C237" s="844">
        <v>4276104621</v>
      </c>
      <c r="D237" s="844">
        <v>0</v>
      </c>
      <c r="E237" s="844">
        <f t="shared" si="7"/>
        <v>4276104621</v>
      </c>
      <c r="F237" s="844">
        <v>1152509689.4300001</v>
      </c>
      <c r="G237" s="844">
        <v>3123594931.5700002</v>
      </c>
      <c r="H237" s="842">
        <f t="shared" si="6"/>
        <v>0.26952326745468563</v>
      </c>
    </row>
    <row r="238" spans="1:8" x14ac:dyDescent="0.2">
      <c r="A238" s="843" t="s">
        <v>2092</v>
      </c>
      <c r="B238" s="275" t="s">
        <v>1029</v>
      </c>
      <c r="C238" s="844">
        <v>176050000</v>
      </c>
      <c r="D238" s="844">
        <v>0</v>
      </c>
      <c r="E238" s="844">
        <f t="shared" si="7"/>
        <v>176050000</v>
      </c>
      <c r="F238" s="844">
        <v>29207614.68</v>
      </c>
      <c r="G238" s="844">
        <v>146842385.31999999</v>
      </c>
      <c r="H238" s="842">
        <f t="shared" si="6"/>
        <v>0.16590522397046292</v>
      </c>
    </row>
    <row r="239" spans="1:8" x14ac:dyDescent="0.2">
      <c r="A239" s="843" t="s">
        <v>2093</v>
      </c>
      <c r="B239" s="275" t="s">
        <v>1030</v>
      </c>
      <c r="C239" s="844">
        <v>176050000</v>
      </c>
      <c r="D239" s="844">
        <v>0</v>
      </c>
      <c r="E239" s="844">
        <f t="shared" si="7"/>
        <v>176050000</v>
      </c>
      <c r="F239" s="844">
        <v>29207614.68</v>
      </c>
      <c r="G239" s="844">
        <v>146842385.31999999</v>
      </c>
      <c r="H239" s="842">
        <f t="shared" si="6"/>
        <v>0.16590522397046292</v>
      </c>
    </row>
    <row r="240" spans="1:8" x14ac:dyDescent="0.2">
      <c r="A240" s="843" t="s">
        <v>2094</v>
      </c>
      <c r="B240" s="275" t="s">
        <v>1030</v>
      </c>
      <c r="C240" s="844">
        <v>176050000</v>
      </c>
      <c r="D240" s="844">
        <v>0</v>
      </c>
      <c r="E240" s="844">
        <f t="shared" si="7"/>
        <v>176050000</v>
      </c>
      <c r="F240" s="844">
        <v>29207614.68</v>
      </c>
      <c r="G240" s="844">
        <v>146842385.31999999</v>
      </c>
      <c r="H240" s="842">
        <f t="shared" si="6"/>
        <v>0.16590522397046292</v>
      </c>
    </row>
    <row r="241" spans="1:8" x14ac:dyDescent="0.2">
      <c r="A241" s="843"/>
      <c r="B241" s="275"/>
      <c r="C241" s="844"/>
      <c r="D241" s="844"/>
      <c r="E241" s="844"/>
      <c r="F241" s="844"/>
      <c r="G241" s="844"/>
      <c r="H241" s="842"/>
    </row>
    <row r="242" spans="1:8" x14ac:dyDescent="0.2">
      <c r="A242" s="840">
        <v>4</v>
      </c>
      <c r="B242" s="295" t="s">
        <v>270</v>
      </c>
      <c r="C242" s="841">
        <v>20000000</v>
      </c>
      <c r="D242" s="841">
        <v>0</v>
      </c>
      <c r="E242" s="841">
        <f t="shared" si="7"/>
        <v>20000000</v>
      </c>
      <c r="F242" s="841">
        <v>6456352.0999999996</v>
      </c>
      <c r="G242" s="841">
        <v>13543647.9</v>
      </c>
      <c r="H242" s="842">
        <f t="shared" si="6"/>
        <v>0.32281760500000001</v>
      </c>
    </row>
    <row r="243" spans="1:8" x14ac:dyDescent="0.2">
      <c r="A243" s="843" t="s">
        <v>2095</v>
      </c>
      <c r="B243" s="275" t="s">
        <v>297</v>
      </c>
      <c r="C243" s="844">
        <v>20000000</v>
      </c>
      <c r="D243" s="844">
        <v>0</v>
      </c>
      <c r="E243" s="844">
        <f t="shared" si="7"/>
        <v>20000000</v>
      </c>
      <c r="F243" s="844">
        <v>6456352.0999999996</v>
      </c>
      <c r="G243" s="844">
        <v>13543647.9</v>
      </c>
      <c r="H243" s="842">
        <f t="shared" si="6"/>
        <v>0.32281760500000001</v>
      </c>
    </row>
    <row r="244" spans="1:8" x14ac:dyDescent="0.2">
      <c r="A244" s="843" t="s">
        <v>2096</v>
      </c>
      <c r="B244" s="275" t="s">
        <v>298</v>
      </c>
      <c r="C244" s="844">
        <v>20000000</v>
      </c>
      <c r="D244" s="844">
        <v>0</v>
      </c>
      <c r="E244" s="844">
        <f t="shared" si="7"/>
        <v>20000000</v>
      </c>
      <c r="F244" s="844">
        <v>6456352.0999999996</v>
      </c>
      <c r="G244" s="844">
        <v>13543647.9</v>
      </c>
      <c r="H244" s="842">
        <f t="shared" si="6"/>
        <v>0.32281760500000001</v>
      </c>
    </row>
    <row r="245" spans="1:8" x14ac:dyDescent="0.2">
      <c r="A245" s="843" t="s">
        <v>2097</v>
      </c>
      <c r="B245" s="275" t="s">
        <v>299</v>
      </c>
      <c r="C245" s="844">
        <v>1000000</v>
      </c>
      <c r="D245" s="844">
        <v>0</v>
      </c>
      <c r="E245" s="844">
        <f t="shared" si="7"/>
        <v>1000000</v>
      </c>
      <c r="F245" s="844">
        <v>0</v>
      </c>
      <c r="G245" s="844">
        <v>1000000</v>
      </c>
      <c r="H245" s="842">
        <f t="shared" si="6"/>
        <v>0</v>
      </c>
    </row>
    <row r="246" spans="1:8" x14ac:dyDescent="0.2">
      <c r="A246" s="843" t="s">
        <v>2098</v>
      </c>
      <c r="B246" s="275" t="s">
        <v>300</v>
      </c>
      <c r="C246" s="844">
        <v>2500000</v>
      </c>
      <c r="D246" s="844">
        <v>0</v>
      </c>
      <c r="E246" s="844">
        <f t="shared" si="7"/>
        <v>2500000</v>
      </c>
      <c r="F246" s="844">
        <v>0</v>
      </c>
      <c r="G246" s="844">
        <v>2500000</v>
      </c>
      <c r="H246" s="842">
        <f t="shared" si="6"/>
        <v>0</v>
      </c>
    </row>
    <row r="247" spans="1:8" s="232" customFormat="1" x14ac:dyDescent="0.2">
      <c r="A247" s="843" t="s">
        <v>2099</v>
      </c>
      <c r="B247" s="275" t="s">
        <v>301</v>
      </c>
      <c r="C247" s="844">
        <v>16500000</v>
      </c>
      <c r="D247" s="844">
        <v>0</v>
      </c>
      <c r="E247" s="844">
        <f t="shared" si="7"/>
        <v>16500000</v>
      </c>
      <c r="F247" s="844">
        <v>6456352.0999999996</v>
      </c>
      <c r="G247" s="844">
        <v>10043647.9</v>
      </c>
      <c r="H247" s="842">
        <f t="shared" si="6"/>
        <v>0.39129406666666666</v>
      </c>
    </row>
    <row r="248" spans="1:8" s="232" customFormat="1" x14ac:dyDescent="0.2">
      <c r="A248" s="843"/>
      <c r="B248" s="275"/>
      <c r="C248" s="844"/>
      <c r="D248" s="844"/>
      <c r="E248" s="844"/>
      <c r="F248" s="844"/>
      <c r="G248" s="844"/>
      <c r="H248" s="842"/>
    </row>
    <row r="249" spans="1:8" x14ac:dyDescent="0.2">
      <c r="A249" s="840">
        <v>5</v>
      </c>
      <c r="B249" s="295" t="s">
        <v>555</v>
      </c>
      <c r="C249" s="841">
        <v>41028844163.709999</v>
      </c>
      <c r="D249" s="841">
        <v>12886980747.440001</v>
      </c>
      <c r="E249" s="841">
        <f t="shared" si="7"/>
        <v>53915824911.150002</v>
      </c>
      <c r="F249" s="841">
        <v>10847673463.030001</v>
      </c>
      <c r="G249" s="841">
        <v>43068151448.120003</v>
      </c>
      <c r="H249" s="842">
        <f t="shared" si="6"/>
        <v>0.2011964665458853</v>
      </c>
    </row>
    <row r="250" spans="1:8" x14ac:dyDescent="0.2">
      <c r="A250" s="843" t="s">
        <v>2100</v>
      </c>
      <c r="B250" s="275" t="s">
        <v>2101</v>
      </c>
      <c r="C250" s="844">
        <v>21497946662.139999</v>
      </c>
      <c r="D250" s="844">
        <v>3490878308.4899998</v>
      </c>
      <c r="E250" s="844">
        <f t="shared" si="7"/>
        <v>24988824970.629997</v>
      </c>
      <c r="F250" s="844">
        <v>6983642267.0299997</v>
      </c>
      <c r="G250" s="844">
        <v>18005182703.599998</v>
      </c>
      <c r="H250" s="842">
        <f t="shared" si="6"/>
        <v>0.27947061437414733</v>
      </c>
    </row>
    <row r="251" spans="1:8" x14ac:dyDescent="0.2">
      <c r="A251" s="843" t="s">
        <v>2102</v>
      </c>
      <c r="B251" s="275" t="s">
        <v>152</v>
      </c>
      <c r="C251" s="844">
        <v>90055378</v>
      </c>
      <c r="D251" s="844">
        <v>90699183.939999998</v>
      </c>
      <c r="E251" s="844">
        <f t="shared" si="7"/>
        <v>180754561.94</v>
      </c>
      <c r="F251" s="844">
        <v>35453907.899999999</v>
      </c>
      <c r="G251" s="844">
        <v>145300654.03999999</v>
      </c>
      <c r="H251" s="842">
        <f t="shared" si="6"/>
        <v>0.19614391758349442</v>
      </c>
    </row>
    <row r="252" spans="1:8" x14ac:dyDescent="0.2">
      <c r="A252" s="843" t="s">
        <v>2103</v>
      </c>
      <c r="B252" s="275" t="s">
        <v>152</v>
      </c>
      <c r="C252" s="844">
        <v>90055378</v>
      </c>
      <c r="D252" s="844">
        <v>90699183.939999998</v>
      </c>
      <c r="E252" s="844">
        <f t="shared" si="7"/>
        <v>180754561.94</v>
      </c>
      <c r="F252" s="844">
        <v>35453907.899999999</v>
      </c>
      <c r="G252" s="844">
        <v>145300654.03999999</v>
      </c>
      <c r="H252" s="842">
        <f t="shared" si="6"/>
        <v>0.19614391758349442</v>
      </c>
    </row>
    <row r="253" spans="1:8" x14ac:dyDescent="0.2">
      <c r="A253" s="843" t="s">
        <v>3779</v>
      </c>
      <c r="B253" s="275" t="s">
        <v>3780</v>
      </c>
      <c r="C253" s="844">
        <v>0</v>
      </c>
      <c r="D253" s="844">
        <v>0</v>
      </c>
      <c r="E253" s="844">
        <f t="shared" si="7"/>
        <v>0</v>
      </c>
      <c r="F253" s="844">
        <v>0</v>
      </c>
      <c r="G253" s="844">
        <v>0</v>
      </c>
      <c r="H253" s="842">
        <v>0</v>
      </c>
    </row>
    <row r="254" spans="1:8" x14ac:dyDescent="0.2">
      <c r="A254" s="843" t="s">
        <v>2104</v>
      </c>
      <c r="B254" s="275" t="s">
        <v>153</v>
      </c>
      <c r="C254" s="844">
        <v>353915000</v>
      </c>
      <c r="D254" s="844">
        <v>91041054.349999994</v>
      </c>
      <c r="E254" s="844">
        <f t="shared" si="7"/>
        <v>444956054.35000002</v>
      </c>
      <c r="F254" s="844">
        <v>379772501.60000002</v>
      </c>
      <c r="G254" s="844">
        <v>65183552.75</v>
      </c>
      <c r="H254" s="842">
        <f t="shared" si="6"/>
        <v>0.85350563923616829</v>
      </c>
    </row>
    <row r="255" spans="1:8" s="232" customFormat="1" x14ac:dyDescent="0.2">
      <c r="A255" s="843" t="s">
        <v>2105</v>
      </c>
      <c r="B255" s="275" t="s">
        <v>153</v>
      </c>
      <c r="C255" s="844">
        <v>353915000</v>
      </c>
      <c r="D255" s="844">
        <v>91041054.349999994</v>
      </c>
      <c r="E255" s="844">
        <f t="shared" si="7"/>
        <v>444956054.35000002</v>
      </c>
      <c r="F255" s="844">
        <v>379772501.60000002</v>
      </c>
      <c r="G255" s="844">
        <v>65183552.75</v>
      </c>
      <c r="H255" s="842">
        <f t="shared" si="6"/>
        <v>0.85350563923616829</v>
      </c>
    </row>
    <row r="256" spans="1:8" x14ac:dyDescent="0.2">
      <c r="A256" s="843" t="s">
        <v>2106</v>
      </c>
      <c r="B256" s="275" t="s">
        <v>154</v>
      </c>
      <c r="C256" s="844">
        <v>1778509034.1400001</v>
      </c>
      <c r="D256" s="844">
        <v>10038954.359999999</v>
      </c>
      <c r="E256" s="844">
        <f t="shared" si="7"/>
        <v>1788547988.5</v>
      </c>
      <c r="F256" s="844">
        <v>172454497.25</v>
      </c>
      <c r="G256" s="844">
        <v>1616093491.25</v>
      </c>
      <c r="H256" s="842">
        <f t="shared" si="6"/>
        <v>9.6421509715616999E-2</v>
      </c>
    </row>
    <row r="257" spans="1:8" x14ac:dyDescent="0.2">
      <c r="A257" s="843" t="s">
        <v>2107</v>
      </c>
      <c r="B257" s="275" t="s">
        <v>154</v>
      </c>
      <c r="C257" s="844">
        <v>1778509034.1400001</v>
      </c>
      <c r="D257" s="844">
        <v>10038954.359999999</v>
      </c>
      <c r="E257" s="844">
        <f t="shared" si="7"/>
        <v>1788547988.5</v>
      </c>
      <c r="F257" s="844">
        <v>172454497.25</v>
      </c>
      <c r="G257" s="844">
        <v>1616093491.25</v>
      </c>
      <c r="H257" s="842">
        <f t="shared" si="6"/>
        <v>9.6421509715616999E-2</v>
      </c>
    </row>
    <row r="258" spans="1:8" x14ac:dyDescent="0.2">
      <c r="A258" s="843" t="s">
        <v>2108</v>
      </c>
      <c r="B258" s="275" t="s">
        <v>241</v>
      </c>
      <c r="C258" s="844">
        <v>396904658.98000002</v>
      </c>
      <c r="D258" s="844">
        <v>59561403.719999999</v>
      </c>
      <c r="E258" s="844">
        <f t="shared" si="7"/>
        <v>456466062.70000005</v>
      </c>
      <c r="F258" s="844">
        <v>131786316.05</v>
      </c>
      <c r="G258" s="844">
        <v>324679746.64999998</v>
      </c>
      <c r="H258" s="842">
        <f t="shared" si="6"/>
        <v>0.28870999800178571</v>
      </c>
    </row>
    <row r="259" spans="1:8" x14ac:dyDescent="0.2">
      <c r="A259" s="843" t="s">
        <v>2109</v>
      </c>
      <c r="B259" s="275" t="s">
        <v>241</v>
      </c>
      <c r="C259" s="844">
        <v>396904658.98000002</v>
      </c>
      <c r="D259" s="844">
        <v>59561403.719999999</v>
      </c>
      <c r="E259" s="844">
        <f t="shared" si="7"/>
        <v>456466062.70000005</v>
      </c>
      <c r="F259" s="844">
        <v>131786316.05</v>
      </c>
      <c r="G259" s="844">
        <v>324679746.64999998</v>
      </c>
      <c r="H259" s="842">
        <f t="shared" si="6"/>
        <v>0.28870999800178571</v>
      </c>
    </row>
    <row r="260" spans="1:8" x14ac:dyDescent="0.2">
      <c r="A260" s="843" t="s">
        <v>2110</v>
      </c>
      <c r="B260" s="275" t="s">
        <v>155</v>
      </c>
      <c r="C260" s="844">
        <v>2623745359</v>
      </c>
      <c r="D260" s="844">
        <v>240559096.15000001</v>
      </c>
      <c r="E260" s="844">
        <f t="shared" si="7"/>
        <v>2864304455.1500001</v>
      </c>
      <c r="F260" s="844">
        <v>1403888767.76</v>
      </c>
      <c r="G260" s="844">
        <v>1460415687.3900001</v>
      </c>
      <c r="H260" s="842">
        <f t="shared" si="6"/>
        <v>0.49013252248231415</v>
      </c>
    </row>
    <row r="261" spans="1:8" x14ac:dyDescent="0.2">
      <c r="A261" s="843" t="s">
        <v>2111</v>
      </c>
      <c r="B261" s="275" t="s">
        <v>20</v>
      </c>
      <c r="C261" s="844">
        <v>2073404045</v>
      </c>
      <c r="D261" s="844">
        <v>169523140.30000001</v>
      </c>
      <c r="E261" s="844">
        <f t="shared" si="7"/>
        <v>2242927185.3000002</v>
      </c>
      <c r="F261" s="844">
        <v>937857233.00999999</v>
      </c>
      <c r="G261" s="844">
        <v>1305069952.29</v>
      </c>
      <c r="H261" s="842">
        <f t="shared" ref="H261:H324" si="8">F261/E261</f>
        <v>0.41813984830031742</v>
      </c>
    </row>
    <row r="262" spans="1:8" x14ac:dyDescent="0.2">
      <c r="A262" s="843" t="s">
        <v>2112</v>
      </c>
      <c r="B262" s="275" t="s">
        <v>156</v>
      </c>
      <c r="C262" s="844">
        <v>550341314</v>
      </c>
      <c r="D262" s="844">
        <v>71035955.849999994</v>
      </c>
      <c r="E262" s="844">
        <f t="shared" ref="E262:E325" si="9">C262+D262</f>
        <v>621377269.85000002</v>
      </c>
      <c r="F262" s="844">
        <v>466031534.75</v>
      </c>
      <c r="G262" s="844">
        <v>155345735.09999999</v>
      </c>
      <c r="H262" s="842">
        <f t="shared" si="8"/>
        <v>0.74999771855590991</v>
      </c>
    </row>
    <row r="263" spans="1:8" x14ac:dyDescent="0.2">
      <c r="A263" s="843" t="s">
        <v>2113</v>
      </c>
      <c r="B263" s="275" t="s">
        <v>157</v>
      </c>
      <c r="C263" s="844">
        <v>4908142555.1400003</v>
      </c>
      <c r="D263" s="844">
        <v>3176230457.8099999</v>
      </c>
      <c r="E263" s="844">
        <f t="shared" si="9"/>
        <v>8084373012.9500008</v>
      </c>
      <c r="F263" s="844">
        <v>2753113937.96</v>
      </c>
      <c r="G263" s="844">
        <v>5331259074.9899998</v>
      </c>
      <c r="H263" s="842">
        <f t="shared" si="8"/>
        <v>0.34054761371721815</v>
      </c>
    </row>
    <row r="264" spans="1:8" x14ac:dyDescent="0.2">
      <c r="A264" s="843" t="s">
        <v>2114</v>
      </c>
      <c r="B264" s="275" t="s">
        <v>157</v>
      </c>
      <c r="C264" s="844">
        <v>4908142555.1400003</v>
      </c>
      <c r="D264" s="844">
        <v>3176230457.8099999</v>
      </c>
      <c r="E264" s="844">
        <f t="shared" si="9"/>
        <v>8084373012.9500008</v>
      </c>
      <c r="F264" s="844">
        <v>2753113937.96</v>
      </c>
      <c r="G264" s="844">
        <v>5331259074.9899998</v>
      </c>
      <c r="H264" s="842">
        <f t="shared" si="8"/>
        <v>0.34054761371721815</v>
      </c>
    </row>
    <row r="265" spans="1:8" x14ac:dyDescent="0.2">
      <c r="A265" s="843" t="s">
        <v>2115</v>
      </c>
      <c r="B265" s="275" t="s">
        <v>158</v>
      </c>
      <c r="C265" s="844">
        <v>3473553372.6100001</v>
      </c>
      <c r="D265" s="844">
        <v>130183423.15000001</v>
      </c>
      <c r="E265" s="844">
        <f t="shared" si="9"/>
        <v>3603736795.7600002</v>
      </c>
      <c r="F265" s="844">
        <v>1811072167.8599999</v>
      </c>
      <c r="G265" s="844">
        <v>1792664627.9000001</v>
      </c>
      <c r="H265" s="842">
        <f t="shared" si="8"/>
        <v>0.50255395177328943</v>
      </c>
    </row>
    <row r="266" spans="1:8" x14ac:dyDescent="0.2">
      <c r="A266" s="843" t="s">
        <v>2116</v>
      </c>
      <c r="B266" s="275" t="s">
        <v>339</v>
      </c>
      <c r="C266" s="844">
        <v>1205999051.6099999</v>
      </c>
      <c r="D266" s="844">
        <v>131008823.15000001</v>
      </c>
      <c r="E266" s="844">
        <f t="shared" si="9"/>
        <v>1337007874.76</v>
      </c>
      <c r="F266" s="844">
        <v>289903996.44999999</v>
      </c>
      <c r="G266" s="844">
        <v>1047103878.3099999</v>
      </c>
      <c r="H266" s="842">
        <f t="shared" si="8"/>
        <v>0.21683043303094926</v>
      </c>
    </row>
    <row r="267" spans="1:8" x14ac:dyDescent="0.2">
      <c r="A267" s="843" t="s">
        <v>2117</v>
      </c>
      <c r="B267" s="275" t="s">
        <v>19</v>
      </c>
      <c r="C267" s="844">
        <v>408338247</v>
      </c>
      <c r="D267" s="844">
        <v>-10825400</v>
      </c>
      <c r="E267" s="844">
        <f t="shared" si="9"/>
        <v>397512847</v>
      </c>
      <c r="F267" s="844">
        <v>69604873.209999993</v>
      </c>
      <c r="G267" s="844">
        <v>327907973.79000002</v>
      </c>
      <c r="H267" s="842">
        <f t="shared" si="8"/>
        <v>0.17510094009615743</v>
      </c>
    </row>
    <row r="268" spans="1:8" x14ac:dyDescent="0.2">
      <c r="A268" s="843" t="s">
        <v>2118</v>
      </c>
      <c r="B268" s="275" t="s">
        <v>1594</v>
      </c>
      <c r="C268" s="844">
        <v>1859216074</v>
      </c>
      <c r="D268" s="844">
        <v>10000000</v>
      </c>
      <c r="E268" s="844">
        <f t="shared" si="9"/>
        <v>1869216074</v>
      </c>
      <c r="F268" s="844">
        <v>1451563298.2</v>
      </c>
      <c r="G268" s="844">
        <v>417652775.80000001</v>
      </c>
      <c r="H268" s="842">
        <f t="shared" si="8"/>
        <v>0.77656260203976823</v>
      </c>
    </row>
    <row r="269" spans="1:8" x14ac:dyDescent="0.2">
      <c r="A269" s="843" t="s">
        <v>2119</v>
      </c>
      <c r="B269" s="275" t="s">
        <v>159</v>
      </c>
      <c r="C269" s="844">
        <v>7873121304.2700005</v>
      </c>
      <c r="D269" s="844">
        <v>-307435264.99000001</v>
      </c>
      <c r="E269" s="844">
        <f t="shared" si="9"/>
        <v>7565686039.2800007</v>
      </c>
      <c r="F269" s="844">
        <v>296100170.64999998</v>
      </c>
      <c r="G269" s="844">
        <v>7269585868.6300001</v>
      </c>
      <c r="H269" s="842">
        <f t="shared" si="8"/>
        <v>3.9137253265954818E-2</v>
      </c>
    </row>
    <row r="270" spans="1:8" x14ac:dyDescent="0.2">
      <c r="A270" s="843" t="s">
        <v>2120</v>
      </c>
      <c r="B270" s="275" t="s">
        <v>1169</v>
      </c>
      <c r="C270" s="844">
        <v>75972554.299999997</v>
      </c>
      <c r="D270" s="844">
        <v>22024857.82</v>
      </c>
      <c r="E270" s="844">
        <f t="shared" si="9"/>
        <v>97997412.120000005</v>
      </c>
      <c r="F270" s="844">
        <v>35940535.149999999</v>
      </c>
      <c r="G270" s="844">
        <v>62056876.969999999</v>
      </c>
      <c r="H270" s="842">
        <f t="shared" si="8"/>
        <v>0.36674983933238986</v>
      </c>
    </row>
    <row r="271" spans="1:8" x14ac:dyDescent="0.2">
      <c r="A271" s="843" t="s">
        <v>2121</v>
      </c>
      <c r="B271" s="275" t="s">
        <v>70</v>
      </c>
      <c r="C271" s="844">
        <v>7797148749.9700003</v>
      </c>
      <c r="D271" s="844">
        <v>-329460122.81</v>
      </c>
      <c r="E271" s="844">
        <f t="shared" si="9"/>
        <v>7467688627.1599998</v>
      </c>
      <c r="F271" s="844">
        <v>260159635.5</v>
      </c>
      <c r="G271" s="844">
        <v>7207528991.6599998</v>
      </c>
      <c r="H271" s="842">
        <f t="shared" si="8"/>
        <v>3.4838040053491094E-2</v>
      </c>
    </row>
    <row r="272" spans="1:8" x14ac:dyDescent="0.2">
      <c r="A272" s="843" t="s">
        <v>2122</v>
      </c>
      <c r="B272" s="275" t="s">
        <v>160</v>
      </c>
      <c r="C272" s="844">
        <v>19364897501.57</v>
      </c>
      <c r="D272" s="844">
        <v>9396102438.9500008</v>
      </c>
      <c r="E272" s="844">
        <f t="shared" si="9"/>
        <v>28760999940.52</v>
      </c>
      <c r="F272" s="844">
        <v>3862215089.5</v>
      </c>
      <c r="G272" s="844">
        <v>24898784851.02</v>
      </c>
      <c r="H272" s="842">
        <f t="shared" si="8"/>
        <v>0.13428653723748699</v>
      </c>
    </row>
    <row r="273" spans="1:8" x14ac:dyDescent="0.2">
      <c r="A273" s="843" t="s">
        <v>2123</v>
      </c>
      <c r="B273" s="275" t="s">
        <v>471</v>
      </c>
      <c r="C273" s="844">
        <v>15914853648.57</v>
      </c>
      <c r="D273" s="844">
        <v>9185012358.6100006</v>
      </c>
      <c r="E273" s="844">
        <f t="shared" si="9"/>
        <v>25099866007.18</v>
      </c>
      <c r="F273" s="844">
        <v>3480854627.0500002</v>
      </c>
      <c r="G273" s="844">
        <v>21619011380.130001</v>
      </c>
      <c r="H273" s="842">
        <f t="shared" si="8"/>
        <v>0.13868020753793173</v>
      </c>
    </row>
    <row r="274" spans="1:8" x14ac:dyDescent="0.2">
      <c r="A274" s="843" t="s">
        <v>2124</v>
      </c>
      <c r="B274" s="275" t="s">
        <v>471</v>
      </c>
      <c r="C274" s="844">
        <v>15914853648.57</v>
      </c>
      <c r="D274" s="844">
        <v>9185012358.6100006</v>
      </c>
      <c r="E274" s="844">
        <f t="shared" si="9"/>
        <v>25099866007.18</v>
      </c>
      <c r="F274" s="844">
        <v>3480854627.0500002</v>
      </c>
      <c r="G274" s="844">
        <v>21619011380.130001</v>
      </c>
      <c r="H274" s="842">
        <f t="shared" si="8"/>
        <v>0.13868020753793173</v>
      </c>
    </row>
    <row r="275" spans="1:8" x14ac:dyDescent="0.2">
      <c r="A275" s="843" t="s">
        <v>2125</v>
      </c>
      <c r="B275" s="275" t="s">
        <v>161</v>
      </c>
      <c r="C275" s="844">
        <v>1022924836</v>
      </c>
      <c r="D275" s="844">
        <v>-5765250</v>
      </c>
      <c r="E275" s="844">
        <f t="shared" si="9"/>
        <v>1017159586</v>
      </c>
      <c r="F275" s="844">
        <v>15997961</v>
      </c>
      <c r="G275" s="844">
        <v>1001161625</v>
      </c>
      <c r="H275" s="842">
        <f t="shared" si="8"/>
        <v>1.5728073765604762E-2</v>
      </c>
    </row>
    <row r="276" spans="1:8" x14ac:dyDescent="0.2">
      <c r="A276" s="843" t="s">
        <v>2126</v>
      </c>
      <c r="B276" s="275" t="s">
        <v>161</v>
      </c>
      <c r="C276" s="844">
        <v>1022924836</v>
      </c>
      <c r="D276" s="844">
        <v>-5765250</v>
      </c>
      <c r="E276" s="844">
        <f t="shared" si="9"/>
        <v>1017159586</v>
      </c>
      <c r="F276" s="844">
        <v>15997961</v>
      </c>
      <c r="G276" s="844">
        <v>1001161625</v>
      </c>
      <c r="H276" s="842">
        <f t="shared" si="8"/>
        <v>1.5728073765604762E-2</v>
      </c>
    </row>
    <row r="277" spans="1:8" x14ac:dyDescent="0.2">
      <c r="A277" s="843" t="s">
        <v>3781</v>
      </c>
      <c r="B277" s="275" t="s">
        <v>3782</v>
      </c>
      <c r="C277" s="844">
        <v>0</v>
      </c>
      <c r="D277" s="844">
        <v>6270000</v>
      </c>
      <c r="E277" s="844">
        <f t="shared" si="9"/>
        <v>6270000</v>
      </c>
      <c r="F277" s="844">
        <v>0</v>
      </c>
      <c r="G277" s="844">
        <v>6270000</v>
      </c>
      <c r="H277" s="842">
        <f t="shared" si="8"/>
        <v>0</v>
      </c>
    </row>
    <row r="278" spans="1:8" x14ac:dyDescent="0.2">
      <c r="A278" s="843" t="s">
        <v>3783</v>
      </c>
      <c r="B278" s="275" t="s">
        <v>3784</v>
      </c>
      <c r="C278" s="844">
        <v>0</v>
      </c>
      <c r="D278" s="844">
        <v>6270000</v>
      </c>
      <c r="E278" s="844">
        <f t="shared" si="9"/>
        <v>6270000</v>
      </c>
      <c r="F278" s="844">
        <v>0</v>
      </c>
      <c r="G278" s="844">
        <v>6270000</v>
      </c>
      <c r="H278" s="842">
        <f t="shared" si="8"/>
        <v>0</v>
      </c>
    </row>
    <row r="279" spans="1:8" x14ac:dyDescent="0.2">
      <c r="A279" s="843" t="s">
        <v>2127</v>
      </c>
      <c r="B279" s="275" t="s">
        <v>470</v>
      </c>
      <c r="C279" s="844">
        <v>752000000</v>
      </c>
      <c r="D279" s="844">
        <v>213668115.74000001</v>
      </c>
      <c r="E279" s="844">
        <f t="shared" si="9"/>
        <v>965668115.74000001</v>
      </c>
      <c r="F279" s="844">
        <v>27844648</v>
      </c>
      <c r="G279" s="844">
        <v>937823467.74000001</v>
      </c>
      <c r="H279" s="842">
        <f t="shared" si="8"/>
        <v>2.8834593941897316E-2</v>
      </c>
    </row>
    <row r="280" spans="1:8" x14ac:dyDescent="0.2">
      <c r="A280" s="843" t="s">
        <v>2128</v>
      </c>
      <c r="B280" s="275" t="s">
        <v>470</v>
      </c>
      <c r="C280" s="844">
        <v>752000000</v>
      </c>
      <c r="D280" s="844">
        <v>213668115.74000001</v>
      </c>
      <c r="E280" s="844">
        <f t="shared" si="9"/>
        <v>965668115.74000001</v>
      </c>
      <c r="F280" s="844">
        <v>27844648</v>
      </c>
      <c r="G280" s="844">
        <v>937823467.74000001</v>
      </c>
      <c r="H280" s="842">
        <f t="shared" si="8"/>
        <v>2.8834593941897316E-2</v>
      </c>
    </row>
    <row r="281" spans="1:8" x14ac:dyDescent="0.2">
      <c r="A281" s="843" t="s">
        <v>2129</v>
      </c>
      <c r="B281" s="275" t="s">
        <v>162</v>
      </c>
      <c r="C281" s="844">
        <v>1675119017</v>
      </c>
      <c r="D281" s="844">
        <v>-3082785.4</v>
      </c>
      <c r="E281" s="844">
        <f t="shared" si="9"/>
        <v>1672036231.5999999</v>
      </c>
      <c r="F281" s="844">
        <v>337517853.44999999</v>
      </c>
      <c r="G281" s="844">
        <v>1334518378.1500001</v>
      </c>
      <c r="H281" s="842">
        <f t="shared" si="8"/>
        <v>0.2018603706493988</v>
      </c>
    </row>
    <row r="282" spans="1:8" x14ac:dyDescent="0.2">
      <c r="A282" s="843" t="s">
        <v>2130</v>
      </c>
      <c r="B282" s="275" t="s">
        <v>162</v>
      </c>
      <c r="C282" s="844">
        <v>1675119017</v>
      </c>
      <c r="D282" s="844">
        <v>-3082785.4</v>
      </c>
      <c r="E282" s="844">
        <f t="shared" si="9"/>
        <v>1672036231.5999999</v>
      </c>
      <c r="F282" s="844">
        <v>337517853.44999999</v>
      </c>
      <c r="G282" s="844">
        <v>1334518378.1500001</v>
      </c>
      <c r="H282" s="842">
        <f t="shared" si="8"/>
        <v>0.2018603706493988</v>
      </c>
    </row>
    <row r="283" spans="1:8" x14ac:dyDescent="0.2">
      <c r="A283" s="843" t="s">
        <v>2131</v>
      </c>
      <c r="B283" s="275" t="s">
        <v>1595</v>
      </c>
      <c r="C283" s="844">
        <v>155000000</v>
      </c>
      <c r="D283" s="844">
        <v>0</v>
      </c>
      <c r="E283" s="844">
        <f t="shared" si="9"/>
        <v>155000000</v>
      </c>
      <c r="F283" s="844">
        <v>0</v>
      </c>
      <c r="G283" s="844">
        <v>155000000</v>
      </c>
      <c r="H283" s="842">
        <f t="shared" si="8"/>
        <v>0</v>
      </c>
    </row>
    <row r="284" spans="1:8" s="232" customFormat="1" x14ac:dyDescent="0.2">
      <c r="A284" s="843" t="s">
        <v>2132</v>
      </c>
      <c r="B284" s="275" t="s">
        <v>472</v>
      </c>
      <c r="C284" s="844">
        <v>30000000</v>
      </c>
      <c r="D284" s="844">
        <v>0</v>
      </c>
      <c r="E284" s="844">
        <f t="shared" si="9"/>
        <v>30000000</v>
      </c>
      <c r="F284" s="844">
        <v>0</v>
      </c>
      <c r="G284" s="844">
        <v>30000000</v>
      </c>
      <c r="H284" s="842">
        <f t="shared" si="8"/>
        <v>0</v>
      </c>
    </row>
    <row r="285" spans="1:8" x14ac:dyDescent="0.2">
      <c r="A285" s="843" t="s">
        <v>2133</v>
      </c>
      <c r="B285" s="275" t="s">
        <v>472</v>
      </c>
      <c r="C285" s="844">
        <v>30000000</v>
      </c>
      <c r="D285" s="844">
        <v>0</v>
      </c>
      <c r="E285" s="844">
        <f t="shared" si="9"/>
        <v>30000000</v>
      </c>
      <c r="F285" s="844">
        <v>0</v>
      </c>
      <c r="G285" s="844">
        <v>30000000</v>
      </c>
      <c r="H285" s="842">
        <f t="shared" si="8"/>
        <v>0</v>
      </c>
    </row>
    <row r="286" spans="1:8" x14ac:dyDescent="0.2">
      <c r="A286" s="843" t="s">
        <v>2134</v>
      </c>
      <c r="B286" s="275" t="s">
        <v>1596</v>
      </c>
      <c r="C286" s="844">
        <v>0</v>
      </c>
      <c r="D286" s="844">
        <v>0</v>
      </c>
      <c r="E286" s="844">
        <f t="shared" si="9"/>
        <v>0</v>
      </c>
      <c r="F286" s="844">
        <v>0</v>
      </c>
      <c r="G286" s="844">
        <v>0</v>
      </c>
      <c r="H286" s="842">
        <v>0</v>
      </c>
    </row>
    <row r="287" spans="1:8" x14ac:dyDescent="0.2">
      <c r="A287" s="843" t="s">
        <v>2135</v>
      </c>
      <c r="B287" s="275" t="s">
        <v>1596</v>
      </c>
      <c r="C287" s="844">
        <v>0</v>
      </c>
      <c r="D287" s="844">
        <v>0</v>
      </c>
      <c r="E287" s="844">
        <f t="shared" si="9"/>
        <v>0</v>
      </c>
      <c r="F287" s="844">
        <v>0</v>
      </c>
      <c r="G287" s="844">
        <v>0</v>
      </c>
      <c r="H287" s="842">
        <v>0</v>
      </c>
    </row>
    <row r="288" spans="1:8" x14ac:dyDescent="0.2">
      <c r="A288" s="843" t="s">
        <v>3785</v>
      </c>
      <c r="B288" s="275" t="s">
        <v>3531</v>
      </c>
      <c r="C288" s="844">
        <v>125000000</v>
      </c>
      <c r="D288" s="844">
        <v>0</v>
      </c>
      <c r="E288" s="844">
        <f t="shared" si="9"/>
        <v>125000000</v>
      </c>
      <c r="F288" s="844">
        <v>0</v>
      </c>
      <c r="G288" s="844">
        <v>125000000</v>
      </c>
      <c r="H288" s="842">
        <f t="shared" si="8"/>
        <v>0</v>
      </c>
    </row>
    <row r="289" spans="1:8" x14ac:dyDescent="0.2">
      <c r="A289" s="843" t="s">
        <v>3786</v>
      </c>
      <c r="B289" s="275" t="s">
        <v>3531</v>
      </c>
      <c r="C289" s="844">
        <v>125000000</v>
      </c>
      <c r="D289" s="844">
        <v>0</v>
      </c>
      <c r="E289" s="844">
        <f t="shared" si="9"/>
        <v>125000000</v>
      </c>
      <c r="F289" s="844">
        <v>0</v>
      </c>
      <c r="G289" s="844">
        <v>125000000</v>
      </c>
      <c r="H289" s="842">
        <f t="shared" si="8"/>
        <v>0</v>
      </c>
    </row>
    <row r="290" spans="1:8" x14ac:dyDescent="0.2">
      <c r="A290" s="843" t="s">
        <v>2136</v>
      </c>
      <c r="B290" s="275" t="s">
        <v>914</v>
      </c>
      <c r="C290" s="844">
        <v>11000000</v>
      </c>
      <c r="D290" s="844">
        <v>0</v>
      </c>
      <c r="E290" s="844">
        <f t="shared" si="9"/>
        <v>11000000</v>
      </c>
      <c r="F290" s="844">
        <v>1816106.5</v>
      </c>
      <c r="G290" s="844">
        <v>9183893.5</v>
      </c>
      <c r="H290" s="842">
        <f t="shared" si="8"/>
        <v>0.16510059090909091</v>
      </c>
    </row>
    <row r="291" spans="1:8" x14ac:dyDescent="0.2">
      <c r="A291" s="843" t="s">
        <v>3249</v>
      </c>
      <c r="B291" s="275" t="s">
        <v>2798</v>
      </c>
      <c r="C291" s="844">
        <v>0</v>
      </c>
      <c r="D291" s="844">
        <v>0</v>
      </c>
      <c r="E291" s="844">
        <f t="shared" si="9"/>
        <v>0</v>
      </c>
      <c r="F291" s="844">
        <v>0</v>
      </c>
      <c r="G291" s="844">
        <v>0</v>
      </c>
      <c r="H291" s="842">
        <v>0</v>
      </c>
    </row>
    <row r="292" spans="1:8" x14ac:dyDescent="0.2">
      <c r="A292" s="843" t="s">
        <v>3250</v>
      </c>
      <c r="B292" s="275" t="s">
        <v>2798</v>
      </c>
      <c r="C292" s="844">
        <v>0</v>
      </c>
      <c r="D292" s="844">
        <v>0</v>
      </c>
      <c r="E292" s="844">
        <f t="shared" si="9"/>
        <v>0</v>
      </c>
      <c r="F292" s="844">
        <v>0</v>
      </c>
      <c r="G292" s="844">
        <v>0</v>
      </c>
      <c r="H292" s="842">
        <v>0</v>
      </c>
    </row>
    <row r="293" spans="1:8" x14ac:dyDescent="0.2">
      <c r="A293" s="843" t="s">
        <v>2137</v>
      </c>
      <c r="B293" s="275" t="s">
        <v>915</v>
      </c>
      <c r="C293" s="844">
        <v>11000000</v>
      </c>
      <c r="D293" s="844">
        <v>0</v>
      </c>
      <c r="E293" s="844">
        <f t="shared" si="9"/>
        <v>11000000</v>
      </c>
      <c r="F293" s="844">
        <v>1816106.5</v>
      </c>
      <c r="G293" s="844">
        <v>9183893.5</v>
      </c>
      <c r="H293" s="842">
        <f t="shared" si="8"/>
        <v>0.16510059090909091</v>
      </c>
    </row>
    <row r="294" spans="1:8" x14ac:dyDescent="0.2">
      <c r="A294" s="843" t="s">
        <v>2138</v>
      </c>
      <c r="B294" s="275" t="s">
        <v>915</v>
      </c>
      <c r="C294" s="844">
        <v>11000000</v>
      </c>
      <c r="D294" s="844">
        <v>0</v>
      </c>
      <c r="E294" s="844">
        <f t="shared" si="9"/>
        <v>11000000</v>
      </c>
      <c r="F294" s="844">
        <v>1816106.5</v>
      </c>
      <c r="G294" s="844">
        <v>9183893.5</v>
      </c>
      <c r="H294" s="842">
        <f t="shared" si="8"/>
        <v>0.16510059090909091</v>
      </c>
    </row>
    <row r="295" spans="1:8" s="232" customFormat="1" x14ac:dyDescent="0.2">
      <c r="A295" s="843"/>
      <c r="B295" s="275"/>
      <c r="C295" s="844"/>
      <c r="D295" s="844"/>
      <c r="E295" s="844"/>
      <c r="F295" s="844"/>
      <c r="G295" s="844"/>
      <c r="H295" s="842"/>
    </row>
    <row r="296" spans="1:8" x14ac:dyDescent="0.2">
      <c r="A296" s="840">
        <v>6</v>
      </c>
      <c r="B296" s="295" t="s">
        <v>271</v>
      </c>
      <c r="C296" s="841">
        <v>37266453269.220001</v>
      </c>
      <c r="D296" s="841">
        <v>548060083.20000005</v>
      </c>
      <c r="E296" s="841">
        <f t="shared" si="9"/>
        <v>37814513352.419998</v>
      </c>
      <c r="F296" s="841">
        <v>21120416456.540001</v>
      </c>
      <c r="G296" s="841">
        <v>16694096895.879999</v>
      </c>
      <c r="H296" s="842">
        <f t="shared" si="8"/>
        <v>0.55852672913449952</v>
      </c>
    </row>
    <row r="297" spans="1:8" x14ac:dyDescent="0.2">
      <c r="A297" s="843" t="s">
        <v>2539</v>
      </c>
      <c r="B297" s="275" t="s">
        <v>2540</v>
      </c>
      <c r="C297" s="844">
        <v>67100000</v>
      </c>
      <c r="D297" s="844">
        <v>-63440680.399999999</v>
      </c>
      <c r="E297" s="844">
        <f t="shared" si="9"/>
        <v>3659319.6000000015</v>
      </c>
      <c r="F297" s="844">
        <v>3659319.6</v>
      </c>
      <c r="G297" s="844">
        <v>0</v>
      </c>
      <c r="H297" s="842">
        <f t="shared" si="8"/>
        <v>0.99999999999999967</v>
      </c>
    </row>
    <row r="298" spans="1:8" x14ac:dyDescent="0.2">
      <c r="A298" s="843" t="s">
        <v>2541</v>
      </c>
      <c r="B298" s="275" t="s">
        <v>2542</v>
      </c>
      <c r="C298" s="844">
        <v>67100000</v>
      </c>
      <c r="D298" s="844">
        <v>-63440680.399999999</v>
      </c>
      <c r="E298" s="844">
        <f t="shared" si="9"/>
        <v>3659319.6000000015</v>
      </c>
      <c r="F298" s="844">
        <v>3659319.6</v>
      </c>
      <c r="G298" s="844">
        <v>0</v>
      </c>
      <c r="H298" s="842">
        <f t="shared" si="8"/>
        <v>0.99999999999999967</v>
      </c>
    </row>
    <row r="299" spans="1:8" x14ac:dyDescent="0.2">
      <c r="A299" s="843" t="s">
        <v>2543</v>
      </c>
      <c r="B299" s="275" t="s">
        <v>2544</v>
      </c>
      <c r="C299" s="844">
        <v>67100000</v>
      </c>
      <c r="D299" s="844">
        <v>-63440680.399999999</v>
      </c>
      <c r="E299" s="844">
        <f t="shared" si="9"/>
        <v>3659319.6000000015</v>
      </c>
      <c r="F299" s="844">
        <v>3659319.6</v>
      </c>
      <c r="G299" s="844">
        <v>0</v>
      </c>
      <c r="H299" s="842">
        <f t="shared" si="8"/>
        <v>0.99999999999999967</v>
      </c>
    </row>
    <row r="300" spans="1:8" s="232" customFormat="1" x14ac:dyDescent="0.2">
      <c r="A300" s="843" t="s">
        <v>2139</v>
      </c>
      <c r="B300" s="275" t="s">
        <v>916</v>
      </c>
      <c r="C300" s="844">
        <v>31463080423.07</v>
      </c>
      <c r="D300" s="844">
        <v>354695684.75</v>
      </c>
      <c r="E300" s="844">
        <f t="shared" si="9"/>
        <v>31817776107.82</v>
      </c>
      <c r="F300" s="844">
        <v>16799406497.59</v>
      </c>
      <c r="G300" s="844">
        <v>15018369610.23</v>
      </c>
      <c r="H300" s="842">
        <f t="shared" si="8"/>
        <v>0.52798807938877712</v>
      </c>
    </row>
    <row r="301" spans="1:8" s="232" customFormat="1" x14ac:dyDescent="0.2">
      <c r="A301" s="843" t="s">
        <v>2140</v>
      </c>
      <c r="B301" s="275" t="s">
        <v>917</v>
      </c>
      <c r="C301" s="844">
        <v>2309427358</v>
      </c>
      <c r="D301" s="844">
        <v>88000000</v>
      </c>
      <c r="E301" s="844">
        <f t="shared" si="9"/>
        <v>2397427358</v>
      </c>
      <c r="F301" s="844">
        <v>1296999472.54</v>
      </c>
      <c r="G301" s="844">
        <v>1100427885.46</v>
      </c>
      <c r="H301" s="842">
        <f t="shared" si="8"/>
        <v>0.54099635937332125</v>
      </c>
    </row>
    <row r="302" spans="1:8" x14ac:dyDescent="0.2">
      <c r="A302" s="843" t="s">
        <v>2141</v>
      </c>
      <c r="B302" s="275" t="s">
        <v>917</v>
      </c>
      <c r="C302" s="844">
        <v>2309427358</v>
      </c>
      <c r="D302" s="844">
        <v>88000000</v>
      </c>
      <c r="E302" s="844">
        <f t="shared" si="9"/>
        <v>2397427358</v>
      </c>
      <c r="F302" s="844">
        <v>1296999472.54</v>
      </c>
      <c r="G302" s="844">
        <v>1100427885.46</v>
      </c>
      <c r="H302" s="842">
        <f t="shared" si="8"/>
        <v>0.54099635937332125</v>
      </c>
    </row>
    <row r="303" spans="1:8" x14ac:dyDescent="0.2">
      <c r="A303" s="843" t="s">
        <v>2142</v>
      </c>
      <c r="B303" s="275" t="s">
        <v>918</v>
      </c>
      <c r="C303" s="844">
        <v>28070231604.07</v>
      </c>
      <c r="D303" s="844">
        <v>186671216.55000001</v>
      </c>
      <c r="E303" s="844">
        <f t="shared" si="9"/>
        <v>28256902820.619999</v>
      </c>
      <c r="F303" s="844">
        <v>15017820892.049999</v>
      </c>
      <c r="G303" s="844">
        <v>13239081928.57</v>
      </c>
      <c r="H303" s="842">
        <f t="shared" si="8"/>
        <v>0.5314744148495637</v>
      </c>
    </row>
    <row r="304" spans="1:8" x14ac:dyDescent="0.2">
      <c r="A304" s="843" t="s">
        <v>2143</v>
      </c>
      <c r="B304" s="275" t="s">
        <v>412</v>
      </c>
      <c r="C304" s="844">
        <v>843166062</v>
      </c>
      <c r="D304" s="844">
        <v>128691860.8</v>
      </c>
      <c r="E304" s="844">
        <f t="shared" si="9"/>
        <v>971857922.79999995</v>
      </c>
      <c r="F304" s="844">
        <v>394441364.10000002</v>
      </c>
      <c r="G304" s="844">
        <v>577416558.70000005</v>
      </c>
      <c r="H304" s="842">
        <f t="shared" si="8"/>
        <v>0.40586319753774613</v>
      </c>
    </row>
    <row r="305" spans="1:8" x14ac:dyDescent="0.2">
      <c r="A305" s="843" t="s">
        <v>2144</v>
      </c>
      <c r="B305" s="275" t="s">
        <v>919</v>
      </c>
      <c r="C305" s="844">
        <v>1830102013</v>
      </c>
      <c r="D305" s="844">
        <v>9376782.8499999996</v>
      </c>
      <c r="E305" s="844">
        <f t="shared" si="9"/>
        <v>1839478795.8499999</v>
      </c>
      <c r="F305" s="844">
        <v>837076455.79999995</v>
      </c>
      <c r="G305" s="844">
        <v>1002402340.05</v>
      </c>
      <c r="H305" s="842">
        <f t="shared" si="8"/>
        <v>0.45506175862886067</v>
      </c>
    </row>
    <row r="306" spans="1:8" x14ac:dyDescent="0.2">
      <c r="A306" s="843" t="s">
        <v>2145</v>
      </c>
      <c r="B306" s="275" t="s">
        <v>413</v>
      </c>
      <c r="C306" s="844">
        <v>18253503535.07</v>
      </c>
      <c r="D306" s="844">
        <v>38000000</v>
      </c>
      <c r="E306" s="844">
        <f t="shared" si="9"/>
        <v>18291503535.07</v>
      </c>
      <c r="F306" s="844">
        <v>9836552572</v>
      </c>
      <c r="G306" s="844">
        <v>8454950963.0699997</v>
      </c>
      <c r="H306" s="842">
        <f t="shared" si="8"/>
        <v>0.53776621222747156</v>
      </c>
    </row>
    <row r="307" spans="1:8" s="232" customFormat="1" x14ac:dyDescent="0.2">
      <c r="A307" s="843" t="s">
        <v>3251</v>
      </c>
      <c r="B307" s="275" t="s">
        <v>3252</v>
      </c>
      <c r="C307" s="844">
        <v>0</v>
      </c>
      <c r="D307" s="844">
        <v>0</v>
      </c>
      <c r="E307" s="844">
        <f t="shared" si="9"/>
        <v>0</v>
      </c>
      <c r="F307" s="844">
        <v>0</v>
      </c>
      <c r="G307" s="844">
        <v>0</v>
      </c>
      <c r="H307" s="842"/>
    </row>
    <row r="308" spans="1:8" x14ac:dyDescent="0.2">
      <c r="A308" s="843" t="s">
        <v>2146</v>
      </c>
      <c r="B308" s="275" t="s">
        <v>920</v>
      </c>
      <c r="C308" s="844">
        <v>6411000000</v>
      </c>
      <c r="D308" s="844">
        <v>0</v>
      </c>
      <c r="E308" s="844">
        <f t="shared" si="9"/>
        <v>6411000000</v>
      </c>
      <c r="F308" s="844">
        <v>3656997846</v>
      </c>
      <c r="G308" s="844">
        <v>2754002154</v>
      </c>
      <c r="H308" s="842">
        <f t="shared" si="8"/>
        <v>0.57042549461862424</v>
      </c>
    </row>
    <row r="309" spans="1:8" x14ac:dyDescent="0.2">
      <c r="A309" s="843" t="s">
        <v>2147</v>
      </c>
      <c r="B309" s="275" t="s">
        <v>414</v>
      </c>
      <c r="C309" s="844">
        <v>590459994</v>
      </c>
      <c r="D309" s="844">
        <v>1934926.5</v>
      </c>
      <c r="E309" s="844">
        <f t="shared" si="9"/>
        <v>592394920.5</v>
      </c>
      <c r="F309" s="844">
        <v>236157879.94999999</v>
      </c>
      <c r="G309" s="844">
        <v>356237040.55000001</v>
      </c>
      <c r="H309" s="842">
        <f t="shared" si="8"/>
        <v>0.39864940055643167</v>
      </c>
    </row>
    <row r="310" spans="1:8" x14ac:dyDescent="0.2">
      <c r="A310" s="843" t="s">
        <v>2148</v>
      </c>
      <c r="B310" s="275" t="s">
        <v>536</v>
      </c>
      <c r="C310" s="844">
        <v>142000000</v>
      </c>
      <c r="D310" s="844">
        <v>8667646.4000000004</v>
      </c>
      <c r="E310" s="844">
        <f t="shared" si="9"/>
        <v>150667646.40000001</v>
      </c>
      <c r="F310" s="844">
        <v>56594774.200000003</v>
      </c>
      <c r="G310" s="844">
        <v>94072872.200000003</v>
      </c>
      <c r="H310" s="842">
        <f t="shared" si="8"/>
        <v>0.37562658973081298</v>
      </c>
    </row>
    <row r="311" spans="1:8" x14ac:dyDescent="0.2">
      <c r="A311" s="843" t="s">
        <v>2149</v>
      </c>
      <c r="B311" s="275" t="s">
        <v>921</v>
      </c>
      <c r="C311" s="844">
        <v>1500000</v>
      </c>
      <c r="D311" s="844">
        <v>0</v>
      </c>
      <c r="E311" s="844">
        <f t="shared" si="9"/>
        <v>1500000</v>
      </c>
      <c r="F311" s="844">
        <v>40000</v>
      </c>
      <c r="G311" s="844">
        <v>1460000</v>
      </c>
      <c r="H311" s="842">
        <f t="shared" si="8"/>
        <v>2.6666666666666668E-2</v>
      </c>
    </row>
    <row r="312" spans="1:8" x14ac:dyDescent="0.2">
      <c r="A312" s="843" t="s">
        <v>2150</v>
      </c>
      <c r="B312" s="275" t="s">
        <v>921</v>
      </c>
      <c r="C312" s="844">
        <v>1500000</v>
      </c>
      <c r="D312" s="844">
        <v>0</v>
      </c>
      <c r="E312" s="844">
        <f t="shared" si="9"/>
        <v>1500000</v>
      </c>
      <c r="F312" s="844">
        <v>40000</v>
      </c>
      <c r="G312" s="844">
        <v>1460000</v>
      </c>
      <c r="H312" s="842">
        <f t="shared" si="8"/>
        <v>2.6666666666666668E-2</v>
      </c>
    </row>
    <row r="313" spans="1:8" x14ac:dyDescent="0.2">
      <c r="A313" s="843" t="s">
        <v>2151</v>
      </c>
      <c r="B313" s="275" t="s">
        <v>922</v>
      </c>
      <c r="C313" s="844">
        <v>1081921461</v>
      </c>
      <c r="D313" s="844">
        <v>80024468.200000003</v>
      </c>
      <c r="E313" s="844">
        <f t="shared" si="9"/>
        <v>1161945929.2</v>
      </c>
      <c r="F313" s="844">
        <v>484546133</v>
      </c>
      <c r="G313" s="844">
        <v>677399796.20000005</v>
      </c>
      <c r="H313" s="842">
        <f t="shared" si="8"/>
        <v>0.41701263442922004</v>
      </c>
    </row>
    <row r="314" spans="1:8" x14ac:dyDescent="0.2">
      <c r="A314" s="843" t="s">
        <v>2152</v>
      </c>
      <c r="B314" s="275" t="s">
        <v>386</v>
      </c>
      <c r="C314" s="844">
        <v>950000000</v>
      </c>
      <c r="D314" s="844">
        <v>0</v>
      </c>
      <c r="E314" s="844">
        <f t="shared" si="9"/>
        <v>950000000</v>
      </c>
      <c r="F314" s="844">
        <v>371881433.69999999</v>
      </c>
      <c r="G314" s="844">
        <v>578118566.29999995</v>
      </c>
      <c r="H314" s="842">
        <f t="shared" si="8"/>
        <v>0.39145414073684209</v>
      </c>
    </row>
    <row r="315" spans="1:8" x14ac:dyDescent="0.2">
      <c r="A315" s="843" t="s">
        <v>2153</v>
      </c>
      <c r="B315" s="275" t="s">
        <v>411</v>
      </c>
      <c r="C315" s="844">
        <v>121921461</v>
      </c>
      <c r="D315" s="844">
        <v>80024468.200000003</v>
      </c>
      <c r="E315" s="844">
        <f t="shared" si="9"/>
        <v>201945929.19999999</v>
      </c>
      <c r="F315" s="844">
        <v>96063255.950000003</v>
      </c>
      <c r="G315" s="844">
        <v>105882673.25</v>
      </c>
      <c r="H315" s="842">
        <f t="shared" si="8"/>
        <v>0.47568800386593785</v>
      </c>
    </row>
    <row r="316" spans="1:8" x14ac:dyDescent="0.2">
      <c r="A316" s="843" t="s">
        <v>2154</v>
      </c>
      <c r="B316" s="275" t="s">
        <v>1561</v>
      </c>
      <c r="C316" s="844">
        <v>10000000</v>
      </c>
      <c r="D316" s="844">
        <v>0</v>
      </c>
      <c r="E316" s="844">
        <f t="shared" si="9"/>
        <v>10000000</v>
      </c>
      <c r="F316" s="844">
        <v>16601443.35</v>
      </c>
      <c r="G316" s="844">
        <v>-6601443.3499999996</v>
      </c>
      <c r="H316" s="842">
        <f t="shared" si="8"/>
        <v>1.660144335</v>
      </c>
    </row>
    <row r="317" spans="1:8" x14ac:dyDescent="0.2">
      <c r="A317" s="843" t="s">
        <v>2155</v>
      </c>
      <c r="B317" s="275" t="s">
        <v>923</v>
      </c>
      <c r="C317" s="844">
        <v>4882910649.3699999</v>
      </c>
      <c r="D317" s="844">
        <v>19805078.850000001</v>
      </c>
      <c r="E317" s="844">
        <f t="shared" si="9"/>
        <v>4902715728.2200003</v>
      </c>
      <c r="F317" s="844">
        <v>3717262748.3000002</v>
      </c>
      <c r="G317" s="844">
        <v>1185452979.9200001</v>
      </c>
      <c r="H317" s="842">
        <f t="shared" si="8"/>
        <v>0.75820483062141653</v>
      </c>
    </row>
    <row r="318" spans="1:8" x14ac:dyDescent="0.2">
      <c r="A318" s="843" t="s">
        <v>2156</v>
      </c>
      <c r="B318" s="275" t="s">
        <v>924</v>
      </c>
      <c r="C318" s="844">
        <v>4882910649.3699999</v>
      </c>
      <c r="D318" s="844">
        <v>19805078.850000001</v>
      </c>
      <c r="E318" s="844">
        <f t="shared" si="9"/>
        <v>4902715728.2200003</v>
      </c>
      <c r="F318" s="844">
        <v>3717262748.3000002</v>
      </c>
      <c r="G318" s="844">
        <v>1185452979.9200001</v>
      </c>
      <c r="H318" s="842">
        <f t="shared" si="8"/>
        <v>0.75820483062141653</v>
      </c>
    </row>
    <row r="319" spans="1:8" x14ac:dyDescent="0.2">
      <c r="A319" s="843" t="s">
        <v>2157</v>
      </c>
      <c r="B319" s="275" t="s">
        <v>924</v>
      </c>
      <c r="C319" s="844">
        <v>4882910649.3699999</v>
      </c>
      <c r="D319" s="844">
        <v>19805078.850000001</v>
      </c>
      <c r="E319" s="844">
        <f t="shared" si="9"/>
        <v>4902715728.2200003</v>
      </c>
      <c r="F319" s="844">
        <v>3717262748.3000002</v>
      </c>
      <c r="G319" s="844">
        <v>1185452979.9200001</v>
      </c>
      <c r="H319" s="842">
        <f t="shared" si="8"/>
        <v>0.75820483062141653</v>
      </c>
    </row>
    <row r="320" spans="1:8" x14ac:dyDescent="0.2">
      <c r="A320" s="843" t="s">
        <v>2158</v>
      </c>
      <c r="B320" s="275" t="s">
        <v>925</v>
      </c>
      <c r="C320" s="844">
        <v>573362196.77999997</v>
      </c>
      <c r="D320" s="844">
        <v>237000000</v>
      </c>
      <c r="E320" s="844">
        <f t="shared" si="9"/>
        <v>810362196.77999997</v>
      </c>
      <c r="F320" s="844">
        <v>571923955.25</v>
      </c>
      <c r="G320" s="844">
        <v>238438241.53</v>
      </c>
      <c r="H320" s="842">
        <f t="shared" si="8"/>
        <v>0.70576337040715631</v>
      </c>
    </row>
    <row r="321" spans="1:8" x14ac:dyDescent="0.2">
      <c r="A321" s="843" t="s">
        <v>2159</v>
      </c>
      <c r="B321" s="275" t="s">
        <v>926</v>
      </c>
      <c r="C321" s="844">
        <v>369545796</v>
      </c>
      <c r="D321" s="844">
        <v>130000000</v>
      </c>
      <c r="E321" s="844">
        <f t="shared" si="9"/>
        <v>499545796</v>
      </c>
      <c r="F321" s="844">
        <v>232815315</v>
      </c>
      <c r="G321" s="844">
        <v>266730481</v>
      </c>
      <c r="H321" s="842">
        <f t="shared" si="8"/>
        <v>0.46605399717946983</v>
      </c>
    </row>
    <row r="322" spans="1:8" x14ac:dyDescent="0.2">
      <c r="A322" s="843" t="s">
        <v>2160</v>
      </c>
      <c r="B322" s="275" t="s">
        <v>927</v>
      </c>
      <c r="C322" s="844">
        <v>168745796</v>
      </c>
      <c r="D322" s="844">
        <v>130000000</v>
      </c>
      <c r="E322" s="844">
        <f t="shared" si="9"/>
        <v>298745796</v>
      </c>
      <c r="F322" s="844">
        <v>232015315</v>
      </c>
      <c r="G322" s="844">
        <v>66730481</v>
      </c>
      <c r="H322" s="842">
        <f t="shared" si="8"/>
        <v>0.77663122998390244</v>
      </c>
    </row>
    <row r="323" spans="1:8" x14ac:dyDescent="0.2">
      <c r="A323" s="843" t="s">
        <v>2161</v>
      </c>
      <c r="B323" s="275" t="s">
        <v>928</v>
      </c>
      <c r="C323" s="844">
        <v>800000</v>
      </c>
      <c r="D323" s="844">
        <v>0</v>
      </c>
      <c r="E323" s="844">
        <f t="shared" si="9"/>
        <v>800000</v>
      </c>
      <c r="F323" s="844">
        <v>800000</v>
      </c>
      <c r="G323" s="844">
        <v>0</v>
      </c>
      <c r="H323" s="842">
        <f t="shared" si="8"/>
        <v>1</v>
      </c>
    </row>
    <row r="324" spans="1:8" x14ac:dyDescent="0.2">
      <c r="A324" s="843" t="s">
        <v>2162</v>
      </c>
      <c r="B324" s="275" t="s">
        <v>1762</v>
      </c>
      <c r="C324" s="844">
        <v>200000000</v>
      </c>
      <c r="D324" s="844">
        <v>0</v>
      </c>
      <c r="E324" s="844">
        <f t="shared" si="9"/>
        <v>200000000</v>
      </c>
      <c r="F324" s="844">
        <v>0</v>
      </c>
      <c r="G324" s="844">
        <v>200000000</v>
      </c>
      <c r="H324" s="842">
        <f t="shared" si="8"/>
        <v>0</v>
      </c>
    </row>
    <row r="325" spans="1:8" x14ac:dyDescent="0.2">
      <c r="A325" s="843" t="s">
        <v>2163</v>
      </c>
      <c r="B325" s="275" t="s">
        <v>1597</v>
      </c>
      <c r="C325" s="844">
        <v>203816400.78</v>
      </c>
      <c r="D325" s="844">
        <v>107000000</v>
      </c>
      <c r="E325" s="844">
        <f t="shared" si="9"/>
        <v>310816400.77999997</v>
      </c>
      <c r="F325" s="844">
        <v>339108640.25</v>
      </c>
      <c r="G325" s="844">
        <v>-28292239.469999999</v>
      </c>
      <c r="H325" s="842">
        <f t="shared" ref="H325:H344" si="10">F325/E325</f>
        <v>1.0910255681456966</v>
      </c>
    </row>
    <row r="326" spans="1:8" x14ac:dyDescent="0.2">
      <c r="A326" s="843" t="s">
        <v>2164</v>
      </c>
      <c r="B326" s="275" t="s">
        <v>1597</v>
      </c>
      <c r="C326" s="844">
        <v>203816400.78</v>
      </c>
      <c r="D326" s="844">
        <v>107000000</v>
      </c>
      <c r="E326" s="844">
        <f t="shared" ref="E326:E344" si="11">C326+D326</f>
        <v>310816400.77999997</v>
      </c>
      <c r="F326" s="844">
        <v>339108640.25</v>
      </c>
      <c r="G326" s="844">
        <v>-28292239.469999999</v>
      </c>
      <c r="H326" s="842">
        <f t="shared" si="10"/>
        <v>1.0910255681456966</v>
      </c>
    </row>
    <row r="327" spans="1:8" x14ac:dyDescent="0.2">
      <c r="A327" s="843" t="s">
        <v>2165</v>
      </c>
      <c r="B327" s="275" t="s">
        <v>929</v>
      </c>
      <c r="C327" s="844">
        <v>190000000</v>
      </c>
      <c r="D327" s="844">
        <v>0</v>
      </c>
      <c r="E327" s="844">
        <f t="shared" si="11"/>
        <v>190000000</v>
      </c>
      <c r="F327" s="844">
        <v>6152208.0499999998</v>
      </c>
      <c r="G327" s="844">
        <v>183847791.94999999</v>
      </c>
      <c r="H327" s="842">
        <f t="shared" si="10"/>
        <v>3.2380042368421048E-2</v>
      </c>
    </row>
    <row r="328" spans="1:8" x14ac:dyDescent="0.2">
      <c r="A328" s="843" t="s">
        <v>2166</v>
      </c>
      <c r="B328" s="275" t="s">
        <v>626</v>
      </c>
      <c r="C328" s="844">
        <v>190000000</v>
      </c>
      <c r="D328" s="844">
        <v>0</v>
      </c>
      <c r="E328" s="844">
        <f t="shared" si="11"/>
        <v>190000000</v>
      </c>
      <c r="F328" s="844">
        <v>6152208.0499999998</v>
      </c>
      <c r="G328" s="844">
        <v>183847791.94999999</v>
      </c>
      <c r="H328" s="842">
        <f t="shared" si="10"/>
        <v>3.2380042368421048E-2</v>
      </c>
    </row>
    <row r="329" spans="1:8" x14ac:dyDescent="0.2">
      <c r="A329" s="843" t="s">
        <v>2167</v>
      </c>
      <c r="B329" s="275" t="s">
        <v>626</v>
      </c>
      <c r="C329" s="844">
        <v>190000000</v>
      </c>
      <c r="D329" s="844">
        <v>0</v>
      </c>
      <c r="E329" s="844">
        <f t="shared" si="11"/>
        <v>190000000</v>
      </c>
      <c r="F329" s="844">
        <v>6152208.0499999998</v>
      </c>
      <c r="G329" s="844">
        <v>183847791.94999999</v>
      </c>
      <c r="H329" s="842">
        <f t="shared" si="10"/>
        <v>3.2380042368421048E-2</v>
      </c>
    </row>
    <row r="330" spans="1:8" x14ac:dyDescent="0.2">
      <c r="A330" s="843" t="s">
        <v>2168</v>
      </c>
      <c r="B330" s="275" t="s">
        <v>1562</v>
      </c>
      <c r="C330" s="844">
        <v>90000000</v>
      </c>
      <c r="D330" s="844">
        <v>0</v>
      </c>
      <c r="E330" s="844">
        <f t="shared" si="11"/>
        <v>90000000</v>
      </c>
      <c r="F330" s="844">
        <v>22011727.75</v>
      </c>
      <c r="G330" s="844">
        <v>67988272.25</v>
      </c>
      <c r="H330" s="842">
        <f t="shared" si="10"/>
        <v>0.24457475277777777</v>
      </c>
    </row>
    <row r="331" spans="1:8" x14ac:dyDescent="0.2">
      <c r="A331" s="843" t="s">
        <v>2169</v>
      </c>
      <c r="B331" s="275" t="s">
        <v>1563</v>
      </c>
      <c r="C331" s="844">
        <v>90000000</v>
      </c>
      <c r="D331" s="844">
        <v>0</v>
      </c>
      <c r="E331" s="844">
        <f t="shared" si="11"/>
        <v>90000000</v>
      </c>
      <c r="F331" s="844">
        <v>22011727.75</v>
      </c>
      <c r="G331" s="844">
        <v>67988272.25</v>
      </c>
      <c r="H331" s="842">
        <f t="shared" si="10"/>
        <v>0.24457475277777777</v>
      </c>
    </row>
    <row r="332" spans="1:8" x14ac:dyDescent="0.2">
      <c r="A332" s="843" t="s">
        <v>2170</v>
      </c>
      <c r="B332" s="275" t="s">
        <v>1563</v>
      </c>
      <c r="C332" s="844">
        <v>90000000</v>
      </c>
      <c r="D332" s="844">
        <v>0</v>
      </c>
      <c r="E332" s="844">
        <f t="shared" si="11"/>
        <v>90000000</v>
      </c>
      <c r="F332" s="844">
        <v>22011727.75</v>
      </c>
      <c r="G332" s="844">
        <v>67988272.25</v>
      </c>
      <c r="H332" s="842">
        <f t="shared" si="10"/>
        <v>0.24457475277777777</v>
      </c>
    </row>
    <row r="333" spans="1:8" x14ac:dyDescent="0.2">
      <c r="A333" s="843"/>
      <c r="B333" s="275"/>
      <c r="C333" s="844"/>
      <c r="D333" s="844"/>
      <c r="E333" s="844"/>
      <c r="F333" s="844"/>
      <c r="G333" s="844"/>
      <c r="H333" s="842"/>
    </row>
    <row r="334" spans="1:8" x14ac:dyDescent="0.2">
      <c r="A334" s="840">
        <v>8</v>
      </c>
      <c r="B334" s="295" t="s">
        <v>731</v>
      </c>
      <c r="C334" s="841">
        <v>3220290122</v>
      </c>
      <c r="D334" s="841">
        <v>0</v>
      </c>
      <c r="E334" s="841">
        <f t="shared" si="11"/>
        <v>3220290122</v>
      </c>
      <c r="F334" s="841">
        <v>186255765.28999999</v>
      </c>
      <c r="G334" s="841">
        <v>3034034356.71</v>
      </c>
      <c r="H334" s="842">
        <f t="shared" si="10"/>
        <v>5.7838194148272452E-2</v>
      </c>
    </row>
    <row r="335" spans="1:8" x14ac:dyDescent="0.2">
      <c r="A335" s="843" t="s">
        <v>2171</v>
      </c>
      <c r="B335" s="275" t="s">
        <v>1044</v>
      </c>
      <c r="C335" s="844">
        <v>3220290122</v>
      </c>
      <c r="D335" s="844">
        <v>0</v>
      </c>
      <c r="E335" s="844">
        <f t="shared" si="11"/>
        <v>3220290122</v>
      </c>
      <c r="F335" s="844">
        <v>186255765.28999999</v>
      </c>
      <c r="G335" s="844">
        <v>3034034356.71</v>
      </c>
      <c r="H335" s="842">
        <f t="shared" si="10"/>
        <v>5.7838194148272452E-2</v>
      </c>
    </row>
    <row r="336" spans="1:8" x14ac:dyDescent="0.2">
      <c r="A336" s="843" t="s">
        <v>2172</v>
      </c>
      <c r="B336" s="275" t="s">
        <v>2173</v>
      </c>
      <c r="C336" s="844">
        <v>123700000</v>
      </c>
      <c r="D336" s="844">
        <v>0</v>
      </c>
      <c r="E336" s="844">
        <f t="shared" si="11"/>
        <v>123700000</v>
      </c>
      <c r="F336" s="844">
        <v>64816407.310000002</v>
      </c>
      <c r="G336" s="844">
        <v>58883592.689999998</v>
      </c>
      <c r="H336" s="842">
        <f t="shared" si="10"/>
        <v>0.52398065731608734</v>
      </c>
    </row>
    <row r="337" spans="1:8" x14ac:dyDescent="0.2">
      <c r="A337" s="843" t="s">
        <v>2174</v>
      </c>
      <c r="B337" s="275" t="s">
        <v>2173</v>
      </c>
      <c r="C337" s="844">
        <v>123700000</v>
      </c>
      <c r="D337" s="844">
        <v>0</v>
      </c>
      <c r="E337" s="844">
        <f t="shared" si="11"/>
        <v>123700000</v>
      </c>
      <c r="F337" s="844">
        <v>64816407.310000002</v>
      </c>
      <c r="G337" s="844">
        <v>58883592.689999998</v>
      </c>
      <c r="H337" s="842">
        <f t="shared" si="10"/>
        <v>0.52398065731608734</v>
      </c>
    </row>
    <row r="338" spans="1:8" x14ac:dyDescent="0.2">
      <c r="A338" s="843" t="s">
        <v>2545</v>
      </c>
      <c r="B338" s="275" t="s">
        <v>3253</v>
      </c>
      <c r="C338" s="844">
        <v>3096590122</v>
      </c>
      <c r="D338" s="844">
        <v>0</v>
      </c>
      <c r="E338" s="844">
        <f t="shared" si="11"/>
        <v>3096590122</v>
      </c>
      <c r="F338" s="844">
        <v>121439357.98</v>
      </c>
      <c r="G338" s="844">
        <v>2975150764.02</v>
      </c>
      <c r="H338" s="842">
        <f t="shared" si="10"/>
        <v>3.9217123737889388E-2</v>
      </c>
    </row>
    <row r="339" spans="1:8" x14ac:dyDescent="0.2">
      <c r="A339" s="843" t="s">
        <v>2546</v>
      </c>
      <c r="B339" s="275" t="s">
        <v>3253</v>
      </c>
      <c r="C339" s="844">
        <v>3096590122</v>
      </c>
      <c r="D339" s="844">
        <v>0</v>
      </c>
      <c r="E339" s="844">
        <f t="shared" si="11"/>
        <v>3096590122</v>
      </c>
      <c r="F339" s="844">
        <v>121439357.98</v>
      </c>
      <c r="G339" s="844">
        <v>2975150764.02</v>
      </c>
      <c r="H339" s="842">
        <f t="shared" si="10"/>
        <v>3.9217123737889388E-2</v>
      </c>
    </row>
    <row r="340" spans="1:8" s="232" customFormat="1" x14ac:dyDescent="0.2">
      <c r="A340" s="843"/>
      <c r="B340" s="275"/>
      <c r="C340" s="844"/>
      <c r="D340" s="844"/>
      <c r="E340" s="844"/>
      <c r="F340" s="844"/>
      <c r="G340" s="844"/>
      <c r="H340" s="842"/>
    </row>
    <row r="341" spans="1:8" s="232" customFormat="1" x14ac:dyDescent="0.2">
      <c r="A341" s="840">
        <v>9</v>
      </c>
      <c r="B341" s="295" t="s">
        <v>1598</v>
      </c>
      <c r="C341" s="841">
        <v>16405750474.99</v>
      </c>
      <c r="D341" s="841">
        <v>-3701633990.48</v>
      </c>
      <c r="E341" s="841">
        <f t="shared" si="11"/>
        <v>12704116484.51</v>
      </c>
      <c r="F341" s="841">
        <v>0</v>
      </c>
      <c r="G341" s="841">
        <v>12704116484.51</v>
      </c>
      <c r="H341" s="842">
        <f t="shared" si="10"/>
        <v>0</v>
      </c>
    </row>
    <row r="342" spans="1:8" x14ac:dyDescent="0.2">
      <c r="A342" s="843" t="s">
        <v>2175</v>
      </c>
      <c r="B342" s="275" t="s">
        <v>1598</v>
      </c>
      <c r="C342" s="844">
        <v>16405750474.99</v>
      </c>
      <c r="D342" s="844">
        <v>-3701633990.48</v>
      </c>
      <c r="E342" s="844">
        <f t="shared" si="11"/>
        <v>12704116484.51</v>
      </c>
      <c r="F342" s="844">
        <v>0</v>
      </c>
      <c r="G342" s="844">
        <v>12704116484.51</v>
      </c>
      <c r="H342" s="842">
        <f t="shared" si="10"/>
        <v>0</v>
      </c>
    </row>
    <row r="343" spans="1:8" x14ac:dyDescent="0.2">
      <c r="A343" s="843" t="s">
        <v>2176</v>
      </c>
      <c r="B343" s="275" t="s">
        <v>1763</v>
      </c>
      <c r="C343" s="844">
        <v>16405750474.99</v>
      </c>
      <c r="D343" s="844">
        <v>-3701633990.48</v>
      </c>
      <c r="E343" s="844">
        <f t="shared" si="11"/>
        <v>12704116484.51</v>
      </c>
      <c r="F343" s="844">
        <v>0</v>
      </c>
      <c r="G343" s="844">
        <v>12704116484.51</v>
      </c>
      <c r="H343" s="842">
        <f t="shared" si="10"/>
        <v>0</v>
      </c>
    </row>
    <row r="344" spans="1:8" x14ac:dyDescent="0.2">
      <c r="A344" s="843" t="s">
        <v>2177</v>
      </c>
      <c r="B344" s="275" t="s">
        <v>1763</v>
      </c>
      <c r="C344" s="844">
        <v>16405750474.99</v>
      </c>
      <c r="D344" s="844">
        <v>-3701633990.48</v>
      </c>
      <c r="E344" s="844">
        <f t="shared" si="11"/>
        <v>12704116484.51</v>
      </c>
      <c r="F344" s="844">
        <v>0</v>
      </c>
      <c r="G344" s="844">
        <v>12704116484.51</v>
      </c>
      <c r="H344" s="842">
        <f t="shared" si="10"/>
        <v>0</v>
      </c>
    </row>
    <row r="345" spans="1:8" ht="13.5" thickBot="1" x14ac:dyDescent="0.25">
      <c r="A345" s="1115" t="s">
        <v>89</v>
      </c>
      <c r="B345" s="1115"/>
      <c r="C345" s="845">
        <f>C4+C64+C165+C232+C249+C296+C334+C341+C242</f>
        <v>332542644000</v>
      </c>
      <c r="D345" s="845">
        <f>D4+D64+D165+D232+D249+D296+D334+D341+D242</f>
        <v>15004884399.690002</v>
      </c>
      <c r="E345" s="845">
        <f>E4+E64+E165+E232+E249+E296+E334+E341+E242</f>
        <v>347547528399.69</v>
      </c>
      <c r="F345" s="845">
        <f>F4+F64+F165+F232+F249+F296+F334+F341+F242</f>
        <v>145230668185.57004</v>
      </c>
      <c r="G345" s="845">
        <f>G4+G64+G165+G232+G249+G296+G334+G341+G242</f>
        <v>202316860214.12</v>
      </c>
      <c r="H345" s="846">
        <f>F345/E345</f>
        <v>0.41787282693189071</v>
      </c>
    </row>
    <row r="346" spans="1:8" x14ac:dyDescent="0.2">
      <c r="A346" s="843"/>
      <c r="B346" s="275"/>
      <c r="C346" s="275"/>
      <c r="D346" s="275"/>
      <c r="E346" s="275"/>
      <c r="F346" s="275"/>
      <c r="G346" s="275"/>
      <c r="H346" s="847"/>
    </row>
    <row r="347" spans="1:8" s="232" customFormat="1" x14ac:dyDescent="0.2">
      <c r="A347" s="840" t="s">
        <v>121</v>
      </c>
      <c r="B347" s="275"/>
      <c r="C347" s="844" t="s">
        <v>468</v>
      </c>
      <c r="D347" s="275"/>
      <c r="E347" s="275"/>
      <c r="F347" s="275"/>
      <c r="G347" s="275"/>
      <c r="H347" s="847"/>
    </row>
    <row r="348" spans="1:8" s="232" customFormat="1" x14ac:dyDescent="0.2">
      <c r="A348" s="840"/>
      <c r="B348" s="275"/>
      <c r="C348" s="275"/>
      <c r="D348" s="275"/>
      <c r="E348" s="275"/>
      <c r="F348" s="275"/>
      <c r="G348" s="275"/>
      <c r="H348" s="847"/>
    </row>
    <row r="349" spans="1:8" x14ac:dyDescent="0.2">
      <c r="A349" s="843" t="s">
        <v>3775</v>
      </c>
      <c r="B349" s="275"/>
      <c r="C349" s="275"/>
      <c r="D349" s="275"/>
      <c r="E349" s="275"/>
      <c r="F349" s="275"/>
      <c r="G349" s="275"/>
      <c r="H349" s="847"/>
    </row>
    <row r="350" spans="1:8" x14ac:dyDescent="0.2">
      <c r="A350" s="275"/>
      <c r="B350" s="275"/>
      <c r="C350" s="275"/>
      <c r="D350" s="275"/>
      <c r="E350" s="275"/>
      <c r="F350" s="275"/>
      <c r="G350" s="275"/>
      <c r="H350" s="847"/>
    </row>
  </sheetData>
  <mergeCells count="1">
    <mergeCell ref="A345:B345"/>
  </mergeCells>
  <phoneticPr fontId="0" type="noConversion"/>
  <pageMargins left="1.6929133858267718" right="0.51181102362204722" top="1.6535433070866143" bottom="0.74803149606299213" header="0.55118110236220474" footer="0.35433070866141736"/>
  <pageSetup paperSize="9" scale="68" firstPageNumber="72" fitToHeight="0" orientation="landscape" r:id="rId1"/>
  <headerFooter alignWithMargins="0">
    <oddHeader>&amp;C&amp;"Arial,Negrita"UNIVERSIDAD DE COSTA RICA
VICERRECTORÍA DE ADMINISTRACIÓN
OFICINA DE ADMINISTRACIÓN FINANCIERA
SITUACIÓN PRESUPUESTARIA DE
EGRESOS POR OBJETO DE GASTO
Al 30 de junio de 2017
Expresado en colones</oddHeader>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E12" sqref="E12"/>
    </sheetView>
  </sheetViews>
  <sheetFormatPr baseColWidth="10" defaultColWidth="10.85546875" defaultRowHeight="12.75" x14ac:dyDescent="0.2"/>
  <cols>
    <col min="1" max="16384" width="10.85546875" style="28"/>
  </cols>
  <sheetData/>
  <phoneticPr fontId="7" type="noConversion"/>
  <printOptions horizontalCentered="1" verticalCentered="1"/>
  <pageMargins left="1.1811023622047245" right="0.74803149606299213" top="0" bottom="0.98425196850393704" header="0" footer="0"/>
  <pageSetup paperSize="9" scale="95"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9"/>
  <sheetViews>
    <sheetView workbookViewId="0">
      <selection activeCell="O33" sqref="O33"/>
    </sheetView>
  </sheetViews>
  <sheetFormatPr baseColWidth="10" defaultColWidth="10.85546875" defaultRowHeight="12.75" x14ac:dyDescent="0.2"/>
  <cols>
    <col min="1" max="16384" width="10.85546875" style="28"/>
  </cols>
  <sheetData>
    <row r="19" spans="1:1" x14ac:dyDescent="0.2">
      <c r="A19" s="31"/>
    </row>
  </sheetData>
  <phoneticPr fontId="7" type="noConversion"/>
  <printOptions horizontalCentered="1" verticalCentered="1"/>
  <pageMargins left="1.1811023622047245" right="0.74803149606299213" top="0" bottom="0.98425196850393704" header="0" footer="0"/>
  <pageSetup paperSize="9" scale="76" firstPageNumber="84"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9"/>
  <sheetViews>
    <sheetView workbookViewId="0">
      <selection activeCell="I35" sqref="I35"/>
    </sheetView>
  </sheetViews>
  <sheetFormatPr baseColWidth="10" defaultColWidth="10.85546875" defaultRowHeight="12.75" x14ac:dyDescent="0.2"/>
  <cols>
    <col min="1" max="16384" width="10.85546875" style="28"/>
  </cols>
  <sheetData>
    <row r="19" spans="1:1" x14ac:dyDescent="0.2">
      <c r="A19" s="31"/>
    </row>
  </sheetData>
  <phoneticPr fontId="7" type="noConversion"/>
  <printOptions horizontalCentered="1" verticalCentered="1"/>
  <pageMargins left="1.1811023622047245" right="0.74803149606299213" top="0" bottom="0.98425196850393704" header="0" footer="0"/>
  <pageSetup paperSize="9" scale="76" firstPageNumber="84"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M54"/>
  <sheetViews>
    <sheetView workbookViewId="0">
      <selection activeCell="N25" sqref="N25"/>
    </sheetView>
  </sheetViews>
  <sheetFormatPr baseColWidth="10" defaultColWidth="11.42578125" defaultRowHeight="12" x14ac:dyDescent="0.2"/>
  <cols>
    <col min="1" max="1" width="1.42578125" style="275" customWidth="1"/>
    <col min="2" max="2" width="3" style="275" bestFit="1" customWidth="1"/>
    <col min="3" max="3" width="10.5703125" style="275" bestFit="1" customWidth="1"/>
    <col min="4" max="4" width="8.28515625" style="275" bestFit="1" customWidth="1"/>
    <col min="5" max="5" width="45.140625" style="275" bestFit="1" customWidth="1"/>
    <col min="6" max="6" width="7.85546875" style="275" bestFit="1" customWidth="1"/>
    <col min="7" max="7" width="11.5703125" style="275" customWidth="1"/>
    <col min="8" max="8" width="16.7109375" style="275" customWidth="1"/>
    <col min="9" max="11" width="18.42578125" style="275" customWidth="1"/>
    <col min="12" max="12" width="15" style="275" bestFit="1" customWidth="1"/>
    <col min="13" max="13" width="35" style="275" customWidth="1"/>
    <col min="14" max="14" width="11.42578125" style="275"/>
    <col min="15" max="15" width="33.85546875" style="275" customWidth="1"/>
    <col min="16" max="16" width="12.5703125" style="275" customWidth="1"/>
    <col min="17" max="17" width="47.5703125" style="275" customWidth="1"/>
    <col min="18" max="18" width="50.7109375" style="275" customWidth="1"/>
    <col min="19" max="19" width="85.140625" style="275" customWidth="1"/>
    <col min="20" max="20" width="88.28515625" style="275" customWidth="1"/>
    <col min="21" max="21" width="38.5703125" style="275" customWidth="1"/>
    <col min="22" max="22" width="41.5703125" style="275" customWidth="1"/>
    <col min="23" max="23" width="60.5703125" style="275" customWidth="1"/>
    <col min="24" max="24" width="63.7109375" style="275" customWidth="1"/>
    <col min="25" max="25" width="71.42578125" style="275" customWidth="1"/>
    <col min="26" max="26" width="74.5703125" style="275" customWidth="1"/>
    <col min="27" max="27" width="94.28515625" style="275" customWidth="1"/>
    <col min="28" max="28" width="97.42578125" style="275" customWidth="1"/>
    <col min="29" max="29" width="34" style="275" customWidth="1"/>
    <col min="30" max="30" width="37.140625" style="275" customWidth="1"/>
    <col min="31" max="31" width="62.140625" style="275" customWidth="1"/>
    <col min="32" max="32" width="65.28515625" style="275" customWidth="1"/>
    <col min="33" max="33" width="76.7109375" style="275" customWidth="1"/>
    <col min="34" max="34" width="79.85546875" style="275" customWidth="1"/>
    <col min="35" max="35" width="42" style="275" customWidth="1"/>
    <col min="36" max="36" width="45.140625" style="275" customWidth="1"/>
    <col min="37" max="37" width="51.28515625" style="275" customWidth="1"/>
    <col min="38" max="38" width="54.42578125" style="275" customWidth="1"/>
    <col min="39" max="39" width="32.28515625" style="275" bestFit="1" customWidth="1"/>
    <col min="40" max="40" width="35.42578125" style="275" bestFit="1" customWidth="1"/>
    <col min="41" max="41" width="47.85546875" style="275" bestFit="1" customWidth="1"/>
    <col min="42" max="42" width="51" style="275" bestFit="1" customWidth="1"/>
    <col min="43" max="43" width="41.140625" style="275" bestFit="1" customWidth="1"/>
    <col min="44" max="44" width="44.28515625" style="275" bestFit="1" customWidth="1"/>
    <col min="45" max="45" width="95.140625" style="275" bestFit="1" customWidth="1"/>
    <col min="46" max="46" width="98.140625" style="275" bestFit="1" customWidth="1"/>
    <col min="47" max="47" width="48.28515625" style="275" bestFit="1" customWidth="1"/>
    <col min="48" max="48" width="51.42578125" style="275" bestFit="1" customWidth="1"/>
    <col min="49" max="49" width="56.28515625" style="275" bestFit="1" customWidth="1"/>
    <col min="50" max="50" width="59.42578125" style="275" bestFit="1" customWidth="1"/>
    <col min="51" max="51" width="136.5703125" style="275" bestFit="1" customWidth="1"/>
    <col min="52" max="52" width="139.7109375" style="275" bestFit="1" customWidth="1"/>
    <col min="53" max="53" width="33.42578125" style="275" bestFit="1" customWidth="1"/>
    <col min="54" max="54" width="36.42578125" style="275" bestFit="1" customWidth="1"/>
    <col min="55" max="55" width="58.85546875" style="275" bestFit="1" customWidth="1"/>
    <col min="56" max="56" width="62" style="275" bestFit="1" customWidth="1"/>
    <col min="57" max="57" width="40.5703125" style="275" bestFit="1" customWidth="1"/>
    <col min="58" max="58" width="43.7109375" style="275" bestFit="1" customWidth="1"/>
    <col min="59" max="59" width="55.5703125" style="275" bestFit="1" customWidth="1"/>
    <col min="60" max="60" width="58.7109375" style="275" bestFit="1" customWidth="1"/>
    <col min="61" max="61" width="37.7109375" style="275" bestFit="1" customWidth="1"/>
    <col min="62" max="62" width="40.85546875" style="275" bestFit="1" customWidth="1"/>
    <col min="63" max="63" width="52.140625" style="275" bestFit="1" customWidth="1"/>
    <col min="64" max="64" width="55.28515625" style="275" bestFit="1" customWidth="1"/>
    <col min="65" max="65" width="47.28515625" style="275" bestFit="1" customWidth="1"/>
    <col min="66" max="66" width="50.42578125" style="275" bestFit="1" customWidth="1"/>
    <col min="67" max="67" width="12.5703125" style="275" bestFit="1" customWidth="1"/>
    <col min="68" max="16384" width="11.42578125" style="275"/>
  </cols>
  <sheetData>
    <row r="1" spans="2:13" x14ac:dyDescent="0.2">
      <c r="B1" s="1116" t="s">
        <v>3787</v>
      </c>
      <c r="C1" s="1116"/>
      <c r="D1" s="1116"/>
      <c r="E1" s="1116"/>
      <c r="F1" s="1116"/>
      <c r="G1" s="1116"/>
      <c r="H1" s="1116"/>
      <c r="I1" s="1116"/>
      <c r="J1" s="1116"/>
      <c r="K1" s="1116"/>
      <c r="L1" s="1116"/>
      <c r="M1" s="1116"/>
    </row>
    <row r="2" spans="2:13" x14ac:dyDescent="0.2">
      <c r="B2" s="1116"/>
      <c r="C2" s="1116"/>
      <c r="D2" s="1116"/>
      <c r="E2" s="1116"/>
      <c r="F2" s="1116"/>
      <c r="G2" s="1116"/>
      <c r="H2" s="1116"/>
      <c r="I2" s="1116"/>
      <c r="J2" s="1116"/>
      <c r="K2" s="1116"/>
      <c r="L2" s="1116"/>
      <c r="M2" s="1116"/>
    </row>
    <row r="3" spans="2:13" x14ac:dyDescent="0.2">
      <c r="B3" s="1116"/>
      <c r="C3" s="1116"/>
      <c r="D3" s="1116"/>
      <c r="E3" s="1116"/>
      <c r="F3" s="1116"/>
      <c r="G3" s="1116"/>
      <c r="H3" s="1116"/>
      <c r="I3" s="1116"/>
      <c r="J3" s="1116"/>
      <c r="K3" s="1116"/>
      <c r="L3" s="1116"/>
      <c r="M3" s="1116"/>
    </row>
    <row r="4" spans="2:13" x14ac:dyDescent="0.2">
      <c r="C4" s="276"/>
      <c r="D4" s="276"/>
      <c r="E4" s="277"/>
    </row>
    <row r="5" spans="2:13" x14ac:dyDescent="0.2">
      <c r="B5" s="1117" t="s">
        <v>3788</v>
      </c>
      <c r="C5" s="1117"/>
      <c r="D5" s="1117"/>
      <c r="E5" s="1117"/>
      <c r="F5" s="1117"/>
      <c r="G5" s="1117"/>
    </row>
    <row r="6" spans="2:13" x14ac:dyDescent="0.2">
      <c r="B6" s="1118" t="s">
        <v>3789</v>
      </c>
      <c r="C6" s="1118"/>
      <c r="D6" s="1118"/>
      <c r="E6" s="1118"/>
      <c r="F6" s="1118"/>
      <c r="G6" s="1118"/>
      <c r="H6" s="291"/>
      <c r="I6" s="291"/>
      <c r="J6" s="291"/>
      <c r="K6" s="291"/>
      <c r="L6" s="291"/>
      <c r="M6" s="291"/>
    </row>
    <row r="7" spans="2:13" x14ac:dyDescent="0.2">
      <c r="B7" s="737"/>
      <c r="C7" s="737"/>
      <c r="D7" s="848"/>
      <c r="E7" s="737"/>
    </row>
    <row r="8" spans="2:13" ht="12.75" x14ac:dyDescent="0.2">
      <c r="B8" s="1119" t="s">
        <v>2178</v>
      </c>
      <c r="C8" s="1119" t="s">
        <v>3790</v>
      </c>
      <c r="D8" s="1119" t="s">
        <v>3791</v>
      </c>
      <c r="E8" s="1119" t="s">
        <v>3792</v>
      </c>
      <c r="F8" s="1119" t="s">
        <v>3793</v>
      </c>
      <c r="G8" s="1119" t="s">
        <v>4146</v>
      </c>
      <c r="H8" s="1119" t="s">
        <v>2188</v>
      </c>
      <c r="I8" s="1121" t="s">
        <v>3794</v>
      </c>
      <c r="J8" s="1121"/>
      <c r="K8" s="1121"/>
      <c r="L8" s="1119" t="s">
        <v>3795</v>
      </c>
      <c r="M8" s="1119" t="s">
        <v>3796</v>
      </c>
    </row>
    <row r="9" spans="2:13" ht="24" x14ac:dyDescent="0.2">
      <c r="B9" s="1119"/>
      <c r="C9" s="1119"/>
      <c r="D9" s="1119"/>
      <c r="E9" s="1119"/>
      <c r="F9" s="1119"/>
      <c r="G9" s="1119"/>
      <c r="H9" s="1119"/>
      <c r="I9" s="849" t="s">
        <v>3797</v>
      </c>
      <c r="J9" s="849" t="s">
        <v>3798</v>
      </c>
      <c r="K9" s="849" t="s">
        <v>3799</v>
      </c>
      <c r="L9" s="1119"/>
      <c r="M9" s="1119"/>
    </row>
    <row r="10" spans="2:13" s="855" customFormat="1" ht="48" x14ac:dyDescent="0.2">
      <c r="B10" s="850">
        <v>1</v>
      </c>
      <c r="C10" s="850">
        <v>902</v>
      </c>
      <c r="D10" s="850">
        <v>2015</v>
      </c>
      <c r="E10" s="851" t="s">
        <v>2852</v>
      </c>
      <c r="F10" s="850">
        <v>610</v>
      </c>
      <c r="G10" s="852">
        <v>0.9</v>
      </c>
      <c r="H10" s="853">
        <v>700000000</v>
      </c>
      <c r="I10" s="853">
        <v>700000000</v>
      </c>
      <c r="J10" s="853">
        <v>0</v>
      </c>
      <c r="K10" s="854">
        <f t="shared" ref="K10:K48" si="0">+I10+J10</f>
        <v>700000000</v>
      </c>
      <c r="L10" s="851" t="s">
        <v>2563</v>
      </c>
      <c r="M10" s="851" t="s">
        <v>3800</v>
      </c>
    </row>
    <row r="11" spans="2:13" s="855" customFormat="1" x14ac:dyDescent="0.2">
      <c r="B11" s="850">
        <v>2</v>
      </c>
      <c r="C11" s="850">
        <v>903</v>
      </c>
      <c r="D11" s="850">
        <v>2017</v>
      </c>
      <c r="E11" s="851" t="s">
        <v>3801</v>
      </c>
      <c r="F11" s="850" t="s">
        <v>2566</v>
      </c>
      <c r="G11" s="852">
        <v>0.3</v>
      </c>
      <c r="H11" s="853">
        <v>0</v>
      </c>
      <c r="I11" s="853">
        <v>330000000</v>
      </c>
      <c r="J11" s="853">
        <v>0</v>
      </c>
      <c r="K11" s="854">
        <f t="shared" si="0"/>
        <v>330000000</v>
      </c>
      <c r="L11" s="851" t="s">
        <v>2566</v>
      </c>
      <c r="M11" s="851" t="s">
        <v>3802</v>
      </c>
    </row>
    <row r="12" spans="2:13" s="855" customFormat="1" ht="96" x14ac:dyDescent="0.2">
      <c r="B12" s="850">
        <v>3</v>
      </c>
      <c r="C12" s="850">
        <v>905</v>
      </c>
      <c r="D12" s="850">
        <v>2015</v>
      </c>
      <c r="E12" s="851" t="s">
        <v>3803</v>
      </c>
      <c r="F12" s="850">
        <v>900</v>
      </c>
      <c r="G12" s="852">
        <v>0.13</v>
      </c>
      <c r="H12" s="853">
        <v>0</v>
      </c>
      <c r="I12" s="853">
        <v>1000000000</v>
      </c>
      <c r="J12" s="853">
        <v>0</v>
      </c>
      <c r="K12" s="854">
        <f t="shared" si="0"/>
        <v>1000000000</v>
      </c>
      <c r="L12" s="851" t="s">
        <v>2853</v>
      </c>
      <c r="M12" s="851" t="s">
        <v>3804</v>
      </c>
    </row>
    <row r="13" spans="2:13" s="855" customFormat="1" ht="24" x14ac:dyDescent="0.2">
      <c r="B13" s="850">
        <v>4</v>
      </c>
      <c r="C13" s="850">
        <v>906</v>
      </c>
      <c r="D13" s="850">
        <v>2015</v>
      </c>
      <c r="E13" s="851" t="s">
        <v>2562</v>
      </c>
      <c r="F13" s="850">
        <v>60</v>
      </c>
      <c r="G13" s="852">
        <v>1</v>
      </c>
      <c r="H13" s="853">
        <v>0</v>
      </c>
      <c r="I13" s="853">
        <v>45000000</v>
      </c>
      <c r="J13" s="853">
        <v>0</v>
      </c>
      <c r="K13" s="854">
        <f t="shared" si="0"/>
        <v>45000000</v>
      </c>
      <c r="L13" s="851" t="s">
        <v>2578</v>
      </c>
      <c r="M13" s="851" t="s">
        <v>2854</v>
      </c>
    </row>
    <row r="14" spans="2:13" s="855" customFormat="1" ht="132" x14ac:dyDescent="0.2">
      <c r="B14" s="850">
        <v>5</v>
      </c>
      <c r="C14" s="850">
        <v>907</v>
      </c>
      <c r="D14" s="850">
        <v>2015</v>
      </c>
      <c r="E14" s="851" t="s">
        <v>2565</v>
      </c>
      <c r="F14" s="850" t="s">
        <v>2566</v>
      </c>
      <c r="G14" s="852">
        <v>0</v>
      </c>
      <c r="H14" s="853">
        <v>0</v>
      </c>
      <c r="I14" s="853">
        <v>185400000</v>
      </c>
      <c r="J14" s="853">
        <v>0</v>
      </c>
      <c r="K14" s="854">
        <f t="shared" si="0"/>
        <v>185400000</v>
      </c>
      <c r="L14" s="851" t="s">
        <v>2563</v>
      </c>
      <c r="M14" s="851" t="s">
        <v>3805</v>
      </c>
    </row>
    <row r="15" spans="2:13" s="855" customFormat="1" ht="36" x14ac:dyDescent="0.2">
      <c r="B15" s="850">
        <v>6</v>
      </c>
      <c r="C15" s="850">
        <v>908</v>
      </c>
      <c r="D15" s="850">
        <v>2015</v>
      </c>
      <c r="E15" s="851" t="s">
        <v>2567</v>
      </c>
      <c r="F15" s="850">
        <v>40</v>
      </c>
      <c r="G15" s="852">
        <v>1</v>
      </c>
      <c r="H15" s="853">
        <v>0</v>
      </c>
      <c r="I15" s="853">
        <v>30000000</v>
      </c>
      <c r="J15" s="853">
        <v>0</v>
      </c>
      <c r="K15" s="854">
        <f t="shared" si="0"/>
        <v>30000000</v>
      </c>
      <c r="L15" s="851" t="s">
        <v>2578</v>
      </c>
      <c r="M15" s="851" t="s">
        <v>2564</v>
      </c>
    </row>
    <row r="16" spans="2:13" s="855" customFormat="1" ht="24" x14ac:dyDescent="0.2">
      <c r="B16" s="850">
        <v>7</v>
      </c>
      <c r="C16" s="850">
        <v>910</v>
      </c>
      <c r="D16" s="850">
        <v>2017</v>
      </c>
      <c r="E16" s="851" t="s">
        <v>3650</v>
      </c>
      <c r="F16" s="850" t="s">
        <v>2566</v>
      </c>
      <c r="G16" s="852">
        <v>0.5</v>
      </c>
      <c r="H16" s="853">
        <v>0</v>
      </c>
      <c r="I16" s="853">
        <v>80000000</v>
      </c>
      <c r="J16" s="853">
        <v>0</v>
      </c>
      <c r="K16" s="854">
        <f t="shared" si="0"/>
        <v>80000000</v>
      </c>
      <c r="L16" s="851" t="s">
        <v>2566</v>
      </c>
      <c r="M16" s="851" t="s">
        <v>3806</v>
      </c>
    </row>
    <row r="17" spans="2:13" s="855" customFormat="1" ht="24" x14ac:dyDescent="0.2">
      <c r="B17" s="850">
        <v>8</v>
      </c>
      <c r="C17" s="850">
        <v>913</v>
      </c>
      <c r="D17" s="850">
        <v>2017</v>
      </c>
      <c r="E17" s="851" t="s">
        <v>3807</v>
      </c>
      <c r="F17" s="850" t="s">
        <v>2566</v>
      </c>
      <c r="G17" s="852">
        <v>0.3</v>
      </c>
      <c r="H17" s="853">
        <v>0</v>
      </c>
      <c r="I17" s="853">
        <v>150000000</v>
      </c>
      <c r="J17" s="853">
        <v>0</v>
      </c>
      <c r="K17" s="854">
        <f t="shared" si="0"/>
        <v>150000000</v>
      </c>
      <c r="L17" s="851" t="s">
        <v>2566</v>
      </c>
      <c r="M17" s="851" t="s">
        <v>3808</v>
      </c>
    </row>
    <row r="18" spans="2:13" s="855" customFormat="1" ht="24" x14ac:dyDescent="0.2">
      <c r="B18" s="850">
        <v>9</v>
      </c>
      <c r="C18" s="850">
        <v>914</v>
      </c>
      <c r="D18" s="850">
        <v>2014</v>
      </c>
      <c r="E18" s="851" t="s">
        <v>2570</v>
      </c>
      <c r="F18" s="850">
        <v>220</v>
      </c>
      <c r="G18" s="852">
        <v>0.13</v>
      </c>
      <c r="H18" s="853">
        <v>150000000</v>
      </c>
      <c r="I18" s="853">
        <v>150000000</v>
      </c>
      <c r="J18" s="853">
        <v>0</v>
      </c>
      <c r="K18" s="854">
        <f t="shared" si="0"/>
        <v>150000000</v>
      </c>
      <c r="L18" s="851" t="s">
        <v>2563</v>
      </c>
      <c r="M18" s="851" t="s">
        <v>2855</v>
      </c>
    </row>
    <row r="19" spans="2:13" s="855" customFormat="1" ht="48" x14ac:dyDescent="0.2">
      <c r="B19" s="850">
        <v>10</v>
      </c>
      <c r="C19" s="850">
        <v>915</v>
      </c>
      <c r="D19" s="850">
        <v>2017</v>
      </c>
      <c r="E19" s="851" t="s">
        <v>3809</v>
      </c>
      <c r="F19" s="850" t="s">
        <v>2566</v>
      </c>
      <c r="G19" s="852">
        <v>0</v>
      </c>
      <c r="H19" s="853">
        <v>0</v>
      </c>
      <c r="I19" s="853">
        <v>0</v>
      </c>
      <c r="J19" s="853">
        <v>0</v>
      </c>
      <c r="K19" s="854">
        <f t="shared" si="0"/>
        <v>0</v>
      </c>
      <c r="L19" s="851" t="s">
        <v>2566</v>
      </c>
      <c r="M19" s="851" t="s">
        <v>3810</v>
      </c>
    </row>
    <row r="20" spans="2:13" s="855" customFormat="1" x14ac:dyDescent="0.2">
      <c r="B20" s="850">
        <v>11</v>
      </c>
      <c r="C20" s="850">
        <v>916</v>
      </c>
      <c r="D20" s="850">
        <v>2016</v>
      </c>
      <c r="E20" s="851" t="s">
        <v>3811</v>
      </c>
      <c r="F20" s="850">
        <v>3800</v>
      </c>
      <c r="G20" s="852">
        <v>0.8</v>
      </c>
      <c r="H20" s="853">
        <v>0</v>
      </c>
      <c r="I20" s="856">
        <v>799950737.00999999</v>
      </c>
      <c r="J20" s="853">
        <v>0</v>
      </c>
      <c r="K20" s="854">
        <f t="shared" si="0"/>
        <v>799950737.00999999</v>
      </c>
      <c r="L20" s="851" t="s">
        <v>2563</v>
      </c>
      <c r="M20" s="851" t="s">
        <v>3812</v>
      </c>
    </row>
    <row r="21" spans="2:13" s="855" customFormat="1" ht="24" x14ac:dyDescent="0.2">
      <c r="B21" s="850">
        <v>12</v>
      </c>
      <c r="C21" s="850">
        <v>918</v>
      </c>
      <c r="D21" s="850">
        <v>2017</v>
      </c>
      <c r="E21" s="851" t="s">
        <v>3813</v>
      </c>
      <c r="F21" s="850" t="s">
        <v>2566</v>
      </c>
      <c r="G21" s="852">
        <v>0</v>
      </c>
      <c r="H21" s="853">
        <v>0</v>
      </c>
      <c r="I21" s="856">
        <v>150000000</v>
      </c>
      <c r="J21" s="853">
        <v>0</v>
      </c>
      <c r="K21" s="854">
        <f t="shared" si="0"/>
        <v>150000000</v>
      </c>
      <c r="L21" s="851" t="s">
        <v>2566</v>
      </c>
      <c r="M21" s="851" t="s">
        <v>3814</v>
      </c>
    </row>
    <row r="22" spans="2:13" s="855" customFormat="1" ht="24" x14ac:dyDescent="0.2">
      <c r="B22" s="850">
        <v>13</v>
      </c>
      <c r="C22" s="850">
        <v>919</v>
      </c>
      <c r="D22" s="850">
        <v>2015</v>
      </c>
      <c r="E22" s="851" t="s">
        <v>2571</v>
      </c>
      <c r="F22" s="850">
        <v>200</v>
      </c>
      <c r="G22" s="852">
        <v>0.4</v>
      </c>
      <c r="H22" s="853">
        <v>0</v>
      </c>
      <c r="I22" s="853">
        <v>45000000</v>
      </c>
      <c r="J22" s="853">
        <v>0</v>
      </c>
      <c r="K22" s="854">
        <f t="shared" si="0"/>
        <v>45000000</v>
      </c>
      <c r="L22" s="851" t="s">
        <v>2563</v>
      </c>
      <c r="M22" s="851" t="s">
        <v>2572</v>
      </c>
    </row>
    <row r="23" spans="2:13" s="855" customFormat="1" ht="48" x14ac:dyDescent="0.2">
      <c r="B23" s="850">
        <v>14</v>
      </c>
      <c r="C23" s="850">
        <v>921</v>
      </c>
      <c r="D23" s="850">
        <v>2015</v>
      </c>
      <c r="E23" s="851" t="s">
        <v>2573</v>
      </c>
      <c r="F23" s="850" t="s">
        <v>2566</v>
      </c>
      <c r="G23" s="852">
        <v>0.6</v>
      </c>
      <c r="H23" s="853">
        <v>1500000000</v>
      </c>
      <c r="I23" s="853">
        <v>1289000000</v>
      </c>
      <c r="J23" s="853">
        <v>211651123.30000001</v>
      </c>
      <c r="K23" s="854">
        <f t="shared" si="0"/>
        <v>1500651123.3</v>
      </c>
      <c r="L23" s="851" t="s">
        <v>2580</v>
      </c>
      <c r="M23" s="851" t="s">
        <v>3815</v>
      </c>
    </row>
    <row r="24" spans="2:13" s="855" customFormat="1" x14ac:dyDescent="0.2">
      <c r="B24" s="850">
        <v>15</v>
      </c>
      <c r="C24" s="850">
        <v>925</v>
      </c>
      <c r="D24" s="850">
        <v>2014</v>
      </c>
      <c r="E24" s="851" t="s">
        <v>2575</v>
      </c>
      <c r="F24" s="850">
        <v>1900</v>
      </c>
      <c r="G24" s="852">
        <v>0.3</v>
      </c>
      <c r="H24" s="853">
        <v>0</v>
      </c>
      <c r="I24" s="853">
        <v>1255231209.98</v>
      </c>
      <c r="J24" s="853">
        <v>0</v>
      </c>
      <c r="K24" s="854">
        <f t="shared" si="0"/>
        <v>1255231209.98</v>
      </c>
      <c r="L24" s="851" t="s">
        <v>2179</v>
      </c>
      <c r="M24" s="851" t="s">
        <v>2857</v>
      </c>
    </row>
    <row r="25" spans="2:13" s="855" customFormat="1" ht="36" x14ac:dyDescent="0.2">
      <c r="B25" s="850">
        <v>16</v>
      </c>
      <c r="C25" s="850">
        <v>927</v>
      </c>
      <c r="D25" s="850">
        <v>2016</v>
      </c>
      <c r="E25" s="851" t="s">
        <v>3816</v>
      </c>
      <c r="F25" s="850" t="s">
        <v>2566</v>
      </c>
      <c r="G25" s="852">
        <v>0</v>
      </c>
      <c r="H25" s="853">
        <v>0</v>
      </c>
      <c r="I25" s="853">
        <v>254696444.59999999</v>
      </c>
      <c r="J25" s="853">
        <v>0</v>
      </c>
      <c r="K25" s="854">
        <f t="shared" si="0"/>
        <v>254696444.59999999</v>
      </c>
      <c r="L25" s="851" t="s">
        <v>2566</v>
      </c>
      <c r="M25" s="851" t="s">
        <v>3817</v>
      </c>
    </row>
    <row r="26" spans="2:13" s="855" customFormat="1" ht="36" x14ac:dyDescent="0.2">
      <c r="B26" s="850">
        <v>17</v>
      </c>
      <c r="C26" s="850">
        <v>928</v>
      </c>
      <c r="D26" s="850" t="s">
        <v>2566</v>
      </c>
      <c r="E26" s="851" t="s">
        <v>3818</v>
      </c>
      <c r="F26" s="850" t="s">
        <v>2566</v>
      </c>
      <c r="G26" s="852">
        <v>0</v>
      </c>
      <c r="H26" s="853">
        <v>0</v>
      </c>
      <c r="I26" s="853">
        <v>518688848.56999999</v>
      </c>
      <c r="J26" s="853">
        <v>0</v>
      </c>
      <c r="K26" s="854">
        <f t="shared" si="0"/>
        <v>518688848.56999999</v>
      </c>
      <c r="L26" s="851" t="s">
        <v>2566</v>
      </c>
      <c r="M26" s="851" t="s">
        <v>3819</v>
      </c>
    </row>
    <row r="27" spans="2:13" s="855" customFormat="1" ht="36" x14ac:dyDescent="0.2">
      <c r="B27" s="850">
        <v>18</v>
      </c>
      <c r="C27" s="850">
        <v>933</v>
      </c>
      <c r="D27" s="850">
        <v>2017</v>
      </c>
      <c r="E27" s="851" t="s">
        <v>3820</v>
      </c>
      <c r="F27" s="850" t="s">
        <v>2566</v>
      </c>
      <c r="G27" s="852">
        <v>0</v>
      </c>
      <c r="H27" s="853">
        <v>0</v>
      </c>
      <c r="I27" s="853">
        <v>60000000</v>
      </c>
      <c r="J27" s="853">
        <v>0</v>
      </c>
      <c r="K27" s="854">
        <f t="shared" si="0"/>
        <v>60000000</v>
      </c>
      <c r="L27" s="851" t="s">
        <v>2566</v>
      </c>
      <c r="M27" s="851" t="s">
        <v>3821</v>
      </c>
    </row>
    <row r="28" spans="2:13" s="855" customFormat="1" ht="24" x14ac:dyDescent="0.2">
      <c r="B28" s="850">
        <v>19</v>
      </c>
      <c r="C28" s="850">
        <v>943</v>
      </c>
      <c r="D28" s="850">
        <v>2016</v>
      </c>
      <c r="E28" s="851" t="s">
        <v>2860</v>
      </c>
      <c r="F28" s="850">
        <v>1205</v>
      </c>
      <c r="G28" s="852">
        <v>0.8</v>
      </c>
      <c r="H28" s="853">
        <v>927000000</v>
      </c>
      <c r="I28" s="853">
        <v>920000000</v>
      </c>
      <c r="J28" s="853">
        <v>0</v>
      </c>
      <c r="K28" s="854">
        <f t="shared" si="0"/>
        <v>920000000</v>
      </c>
      <c r="L28" s="857" t="s">
        <v>2563</v>
      </c>
      <c r="M28" s="851" t="s">
        <v>3822</v>
      </c>
    </row>
    <row r="29" spans="2:13" s="855" customFormat="1" ht="36" x14ac:dyDescent="0.2">
      <c r="B29" s="850">
        <v>20</v>
      </c>
      <c r="C29" s="850">
        <v>946</v>
      </c>
      <c r="D29" s="850">
        <v>2016</v>
      </c>
      <c r="E29" s="851" t="s">
        <v>2861</v>
      </c>
      <c r="F29" s="850">
        <v>2000</v>
      </c>
      <c r="G29" s="852">
        <v>0.4</v>
      </c>
      <c r="H29" s="853">
        <v>2000000000</v>
      </c>
      <c r="I29" s="853">
        <v>1900000000</v>
      </c>
      <c r="J29" s="853">
        <v>0</v>
      </c>
      <c r="K29" s="854">
        <f t="shared" si="0"/>
        <v>1900000000</v>
      </c>
      <c r="L29" s="851" t="s">
        <v>2580</v>
      </c>
      <c r="M29" s="851" t="s">
        <v>3823</v>
      </c>
    </row>
    <row r="30" spans="2:13" s="855" customFormat="1" x14ac:dyDescent="0.2">
      <c r="B30" s="850">
        <v>21</v>
      </c>
      <c r="C30" s="850">
        <v>947</v>
      </c>
      <c r="D30" s="850">
        <v>2016</v>
      </c>
      <c r="E30" s="851" t="s">
        <v>3824</v>
      </c>
      <c r="F30" s="850" t="s">
        <v>2566</v>
      </c>
      <c r="G30" s="852">
        <v>0</v>
      </c>
      <c r="H30" s="853">
        <v>0</v>
      </c>
      <c r="I30" s="853">
        <v>165000000</v>
      </c>
      <c r="J30" s="853">
        <v>0</v>
      </c>
      <c r="K30" s="854">
        <f t="shared" si="0"/>
        <v>165000000</v>
      </c>
      <c r="L30" s="851" t="s">
        <v>2566</v>
      </c>
      <c r="M30" s="851" t="s">
        <v>3808</v>
      </c>
    </row>
    <row r="31" spans="2:13" s="855" customFormat="1" ht="24" x14ac:dyDescent="0.2">
      <c r="B31" s="850">
        <v>22</v>
      </c>
      <c r="C31" s="850">
        <v>948</v>
      </c>
      <c r="D31" s="850">
        <v>2016</v>
      </c>
      <c r="E31" s="851" t="s">
        <v>3825</v>
      </c>
      <c r="F31" s="850" t="s">
        <v>2566</v>
      </c>
      <c r="G31" s="852">
        <v>0</v>
      </c>
      <c r="H31" s="853">
        <v>0</v>
      </c>
      <c r="I31" s="853">
        <v>0</v>
      </c>
      <c r="J31" s="853">
        <v>0</v>
      </c>
      <c r="K31" s="854">
        <f t="shared" si="0"/>
        <v>0</v>
      </c>
      <c r="L31" s="851" t="s">
        <v>2566</v>
      </c>
      <c r="M31" s="851" t="s">
        <v>3808</v>
      </c>
    </row>
    <row r="32" spans="2:13" s="855" customFormat="1" ht="36" x14ac:dyDescent="0.2">
      <c r="B32" s="850">
        <v>23</v>
      </c>
      <c r="C32" s="850">
        <v>951</v>
      </c>
      <c r="D32" s="850">
        <v>2015</v>
      </c>
      <c r="E32" s="851" t="s">
        <v>2862</v>
      </c>
      <c r="F32" s="850">
        <v>300</v>
      </c>
      <c r="G32" s="852">
        <v>0.05</v>
      </c>
      <c r="H32" s="853">
        <v>0</v>
      </c>
      <c r="I32" s="853">
        <v>0</v>
      </c>
      <c r="J32" s="853">
        <v>0</v>
      </c>
      <c r="K32" s="854">
        <f t="shared" si="0"/>
        <v>0</v>
      </c>
      <c r="L32" s="851" t="s">
        <v>2566</v>
      </c>
      <c r="M32" s="851" t="s">
        <v>3826</v>
      </c>
    </row>
    <row r="33" spans="2:13" s="855" customFormat="1" ht="24" x14ac:dyDescent="0.2">
      <c r="B33" s="850">
        <v>24</v>
      </c>
      <c r="C33" s="850">
        <v>958</v>
      </c>
      <c r="D33" s="850">
        <v>2016</v>
      </c>
      <c r="E33" s="851" t="s">
        <v>3827</v>
      </c>
      <c r="F33" s="850" t="s">
        <v>2566</v>
      </c>
      <c r="G33" s="852">
        <v>0</v>
      </c>
      <c r="H33" s="853">
        <v>0</v>
      </c>
      <c r="I33" s="853">
        <v>573567198.5</v>
      </c>
      <c r="J33" s="853">
        <v>0</v>
      </c>
      <c r="K33" s="854">
        <f t="shared" si="0"/>
        <v>573567198.5</v>
      </c>
      <c r="L33" s="851" t="s">
        <v>2566</v>
      </c>
      <c r="M33" s="851" t="s">
        <v>3828</v>
      </c>
    </row>
    <row r="34" spans="2:13" s="855" customFormat="1" x14ac:dyDescent="0.2">
      <c r="B34" s="850">
        <v>25</v>
      </c>
      <c r="C34" s="850">
        <v>960</v>
      </c>
      <c r="D34" s="850">
        <v>2016</v>
      </c>
      <c r="E34" s="851" t="s">
        <v>2863</v>
      </c>
      <c r="F34" s="850">
        <v>212</v>
      </c>
      <c r="G34" s="852">
        <v>1</v>
      </c>
      <c r="H34" s="853">
        <v>387445760</v>
      </c>
      <c r="I34" s="853">
        <v>357445760</v>
      </c>
      <c r="J34" s="853">
        <v>0</v>
      </c>
      <c r="K34" s="854">
        <f t="shared" si="0"/>
        <v>357445760</v>
      </c>
      <c r="L34" s="851" t="s">
        <v>2563</v>
      </c>
      <c r="M34" s="851" t="s">
        <v>3829</v>
      </c>
    </row>
    <row r="35" spans="2:13" s="855" customFormat="1" ht="36" x14ac:dyDescent="0.2">
      <c r="B35" s="850">
        <v>26</v>
      </c>
      <c r="C35" s="850">
        <v>963</v>
      </c>
      <c r="D35" s="850">
        <v>2017</v>
      </c>
      <c r="E35" s="851" t="s">
        <v>3830</v>
      </c>
      <c r="F35" s="850" t="s">
        <v>2566</v>
      </c>
      <c r="G35" s="852">
        <v>0.2</v>
      </c>
      <c r="H35" s="853">
        <v>0</v>
      </c>
      <c r="I35" s="853">
        <v>63000000</v>
      </c>
      <c r="J35" s="853">
        <v>0</v>
      </c>
      <c r="K35" s="854">
        <f t="shared" si="0"/>
        <v>63000000</v>
      </c>
      <c r="L35" s="851" t="s">
        <v>2566</v>
      </c>
      <c r="M35" s="851" t="s">
        <v>3808</v>
      </c>
    </row>
    <row r="36" spans="2:13" s="855" customFormat="1" ht="24" x14ac:dyDescent="0.2">
      <c r="B36" s="850">
        <v>27</v>
      </c>
      <c r="C36" s="850">
        <v>964</v>
      </c>
      <c r="D36" s="850">
        <v>2017</v>
      </c>
      <c r="E36" s="851" t="s">
        <v>3831</v>
      </c>
      <c r="F36" s="850" t="s">
        <v>2566</v>
      </c>
      <c r="G36" s="852">
        <v>0.2</v>
      </c>
      <c r="H36" s="853">
        <v>0</v>
      </c>
      <c r="I36" s="853">
        <v>245000000</v>
      </c>
      <c r="J36" s="853">
        <v>0</v>
      </c>
      <c r="K36" s="854">
        <f t="shared" si="0"/>
        <v>245000000</v>
      </c>
      <c r="L36" s="851" t="s">
        <v>2566</v>
      </c>
      <c r="M36" s="851" t="s">
        <v>3808</v>
      </c>
    </row>
    <row r="37" spans="2:13" s="855" customFormat="1" ht="24" x14ac:dyDescent="0.2">
      <c r="B37" s="850">
        <v>28</v>
      </c>
      <c r="C37" s="850">
        <v>966</v>
      </c>
      <c r="D37" s="850">
        <v>2017</v>
      </c>
      <c r="E37" s="851" t="s">
        <v>3832</v>
      </c>
      <c r="F37" s="850" t="s">
        <v>2566</v>
      </c>
      <c r="G37" s="852">
        <v>1</v>
      </c>
      <c r="H37" s="853">
        <v>0</v>
      </c>
      <c r="I37" s="853">
        <v>160000000</v>
      </c>
      <c r="J37" s="853">
        <v>0</v>
      </c>
      <c r="K37" s="854">
        <f t="shared" si="0"/>
        <v>160000000</v>
      </c>
      <c r="L37" s="851" t="s">
        <v>2566</v>
      </c>
      <c r="M37" s="851" t="s">
        <v>3808</v>
      </c>
    </row>
    <row r="38" spans="2:13" s="855" customFormat="1" ht="24" x14ac:dyDescent="0.2">
      <c r="B38" s="850">
        <v>29</v>
      </c>
      <c r="C38" s="850">
        <v>967</v>
      </c>
      <c r="D38" s="850">
        <v>2017</v>
      </c>
      <c r="E38" s="851" t="s">
        <v>3833</v>
      </c>
      <c r="F38" s="850" t="s">
        <v>2566</v>
      </c>
      <c r="G38" s="852">
        <v>0.05</v>
      </c>
      <c r="H38" s="853">
        <v>0</v>
      </c>
      <c r="I38" s="853">
        <v>172000000</v>
      </c>
      <c r="J38" s="853">
        <v>0</v>
      </c>
      <c r="K38" s="854">
        <f t="shared" si="0"/>
        <v>172000000</v>
      </c>
      <c r="L38" s="851" t="s">
        <v>2566</v>
      </c>
      <c r="M38" s="851" t="s">
        <v>3808</v>
      </c>
    </row>
    <row r="39" spans="2:13" s="855" customFormat="1" ht="48" x14ac:dyDescent="0.2">
      <c r="B39" s="850">
        <v>30</v>
      </c>
      <c r="C39" s="850">
        <v>970</v>
      </c>
      <c r="D39" s="850">
        <v>2016</v>
      </c>
      <c r="E39" s="851" t="s">
        <v>3834</v>
      </c>
      <c r="F39" s="850" t="s">
        <v>2566</v>
      </c>
      <c r="G39" s="852">
        <v>0.05</v>
      </c>
      <c r="H39" s="853">
        <v>0</v>
      </c>
      <c r="I39" s="853">
        <v>100000000</v>
      </c>
      <c r="J39" s="853">
        <v>0</v>
      </c>
      <c r="K39" s="854">
        <f t="shared" si="0"/>
        <v>100000000</v>
      </c>
      <c r="L39" s="851" t="s">
        <v>2566</v>
      </c>
      <c r="M39" s="851" t="s">
        <v>3835</v>
      </c>
    </row>
    <row r="40" spans="2:13" s="855" customFormat="1" ht="24" x14ac:dyDescent="0.2">
      <c r="B40" s="850">
        <v>31</v>
      </c>
      <c r="C40" s="850">
        <v>973</v>
      </c>
      <c r="D40" s="850">
        <v>2014</v>
      </c>
      <c r="E40" s="851" t="s">
        <v>2582</v>
      </c>
      <c r="F40" s="850">
        <v>7000</v>
      </c>
      <c r="G40" s="852">
        <v>0.13</v>
      </c>
      <c r="H40" s="853">
        <v>0</v>
      </c>
      <c r="I40" s="853">
        <v>0</v>
      </c>
      <c r="J40" s="853">
        <v>0</v>
      </c>
      <c r="K40" s="854">
        <f t="shared" si="0"/>
        <v>0</v>
      </c>
      <c r="L40" s="851" t="s">
        <v>2563</v>
      </c>
      <c r="M40" s="851" t="s">
        <v>2864</v>
      </c>
    </row>
    <row r="41" spans="2:13" s="855" customFormat="1" ht="36" x14ac:dyDescent="0.2">
      <c r="B41" s="850">
        <v>32</v>
      </c>
      <c r="C41" s="850">
        <v>982</v>
      </c>
      <c r="D41" s="850">
        <v>2015</v>
      </c>
      <c r="E41" s="851" t="s">
        <v>2865</v>
      </c>
      <c r="F41" s="850" t="s">
        <v>2566</v>
      </c>
      <c r="G41" s="852">
        <v>0</v>
      </c>
      <c r="H41" s="853">
        <v>0</v>
      </c>
      <c r="I41" s="853">
        <v>125818921.92</v>
      </c>
      <c r="J41" s="853">
        <v>0</v>
      </c>
      <c r="K41" s="854">
        <f t="shared" si="0"/>
        <v>125818921.92</v>
      </c>
      <c r="L41" s="851" t="s">
        <v>2586</v>
      </c>
      <c r="M41" s="851" t="s">
        <v>3836</v>
      </c>
    </row>
    <row r="42" spans="2:13" s="855" customFormat="1" x14ac:dyDescent="0.2">
      <c r="B42" s="850">
        <v>33</v>
      </c>
      <c r="C42" s="850">
        <v>985</v>
      </c>
      <c r="D42" s="850">
        <v>2017</v>
      </c>
      <c r="E42" s="851" t="s">
        <v>3837</v>
      </c>
      <c r="F42" s="850" t="s">
        <v>2566</v>
      </c>
      <c r="G42" s="852">
        <v>0</v>
      </c>
      <c r="H42" s="853">
        <v>0</v>
      </c>
      <c r="I42" s="853">
        <v>100000000</v>
      </c>
      <c r="J42" s="853">
        <v>0</v>
      </c>
      <c r="K42" s="854">
        <f t="shared" si="0"/>
        <v>100000000</v>
      </c>
      <c r="L42" s="851" t="s">
        <v>2566</v>
      </c>
      <c r="M42" s="851" t="s">
        <v>3838</v>
      </c>
    </row>
    <row r="43" spans="2:13" s="855" customFormat="1" x14ac:dyDescent="0.2">
      <c r="B43" s="850">
        <v>34</v>
      </c>
      <c r="C43" s="850">
        <v>986</v>
      </c>
      <c r="D43" s="850">
        <v>2014</v>
      </c>
      <c r="E43" s="851" t="s">
        <v>2584</v>
      </c>
      <c r="F43" s="850">
        <v>685</v>
      </c>
      <c r="G43" s="852">
        <v>0.4</v>
      </c>
      <c r="H43" s="853">
        <v>0</v>
      </c>
      <c r="I43" s="853">
        <v>430000000</v>
      </c>
      <c r="J43" s="853">
        <v>0</v>
      </c>
      <c r="K43" s="854">
        <f t="shared" si="0"/>
        <v>430000000</v>
      </c>
      <c r="L43" s="851" t="s">
        <v>2563</v>
      </c>
      <c r="M43" s="851"/>
    </row>
    <row r="44" spans="2:13" s="855" customFormat="1" ht="24" x14ac:dyDescent="0.2">
      <c r="B44" s="850">
        <v>35</v>
      </c>
      <c r="C44" s="850">
        <v>987</v>
      </c>
      <c r="D44" s="850">
        <v>2017</v>
      </c>
      <c r="E44" s="851" t="s">
        <v>3839</v>
      </c>
      <c r="F44" s="850" t="s">
        <v>2566</v>
      </c>
      <c r="G44" s="852">
        <v>1</v>
      </c>
      <c r="H44" s="853">
        <v>0</v>
      </c>
      <c r="I44" s="853">
        <v>0</v>
      </c>
      <c r="J44" s="853">
        <v>0</v>
      </c>
      <c r="K44" s="854">
        <f t="shared" si="0"/>
        <v>0</v>
      </c>
      <c r="L44" s="851" t="s">
        <v>2566</v>
      </c>
      <c r="M44" s="851" t="s">
        <v>3840</v>
      </c>
    </row>
    <row r="45" spans="2:13" s="855" customFormat="1" ht="24" x14ac:dyDescent="0.2">
      <c r="B45" s="850">
        <v>36</v>
      </c>
      <c r="C45" s="850">
        <v>988</v>
      </c>
      <c r="D45" s="850">
        <v>2017</v>
      </c>
      <c r="E45" s="851" t="s">
        <v>3841</v>
      </c>
      <c r="F45" s="850" t="s">
        <v>2566</v>
      </c>
      <c r="G45" s="852">
        <v>1</v>
      </c>
      <c r="H45" s="853">
        <v>0</v>
      </c>
      <c r="I45" s="853">
        <v>0</v>
      </c>
      <c r="J45" s="853">
        <v>0</v>
      </c>
      <c r="K45" s="854">
        <f t="shared" si="0"/>
        <v>0</v>
      </c>
      <c r="L45" s="851" t="s">
        <v>2566</v>
      </c>
      <c r="M45" s="851" t="s">
        <v>3840</v>
      </c>
    </row>
    <row r="46" spans="2:13" s="855" customFormat="1" ht="24" x14ac:dyDescent="0.2">
      <c r="B46" s="850">
        <v>37</v>
      </c>
      <c r="C46" s="850">
        <v>990</v>
      </c>
      <c r="D46" s="850">
        <v>2017</v>
      </c>
      <c r="E46" s="851" t="s">
        <v>3842</v>
      </c>
      <c r="F46" s="850" t="s">
        <v>2566</v>
      </c>
      <c r="G46" s="852">
        <v>1</v>
      </c>
      <c r="H46" s="853">
        <v>0</v>
      </c>
      <c r="I46" s="853">
        <v>0</v>
      </c>
      <c r="J46" s="853">
        <v>0</v>
      </c>
      <c r="K46" s="854">
        <f t="shared" si="0"/>
        <v>0</v>
      </c>
      <c r="L46" s="851" t="s">
        <v>2566</v>
      </c>
      <c r="M46" s="851" t="s">
        <v>3808</v>
      </c>
    </row>
    <row r="47" spans="2:13" s="855" customFormat="1" ht="24" x14ac:dyDescent="0.2">
      <c r="B47" s="850">
        <v>38</v>
      </c>
      <c r="C47" s="850">
        <v>993</v>
      </c>
      <c r="D47" s="850">
        <v>2012</v>
      </c>
      <c r="E47" s="851" t="s">
        <v>3843</v>
      </c>
      <c r="F47" s="850">
        <v>2000</v>
      </c>
      <c r="G47" s="852">
        <v>1</v>
      </c>
      <c r="H47" s="853">
        <v>1758000000</v>
      </c>
      <c r="I47" s="853">
        <v>925000000</v>
      </c>
      <c r="J47" s="853">
        <v>0</v>
      </c>
      <c r="K47" s="854">
        <f t="shared" si="0"/>
        <v>925000000</v>
      </c>
      <c r="L47" s="851" t="s">
        <v>2580</v>
      </c>
      <c r="M47" s="851" t="s">
        <v>2866</v>
      </c>
    </row>
    <row r="48" spans="2:13" s="855" customFormat="1" ht="36" x14ac:dyDescent="0.2">
      <c r="B48" s="850">
        <v>39</v>
      </c>
      <c r="C48" s="850">
        <v>998</v>
      </c>
      <c r="D48" s="850">
        <v>2014</v>
      </c>
      <c r="E48" s="851" t="s">
        <v>3844</v>
      </c>
      <c r="F48" s="850">
        <v>600</v>
      </c>
      <c r="G48" s="852">
        <v>0.4</v>
      </c>
      <c r="H48" s="853">
        <v>0</v>
      </c>
      <c r="I48" s="853">
        <v>546852000</v>
      </c>
      <c r="J48" s="853">
        <v>0</v>
      </c>
      <c r="K48" s="854">
        <f t="shared" si="0"/>
        <v>546852000</v>
      </c>
      <c r="L48" s="851" t="s">
        <v>2566</v>
      </c>
      <c r="M48" s="851" t="s">
        <v>3845</v>
      </c>
    </row>
    <row r="49" spans="2:13" s="855" customFormat="1" ht="48" x14ac:dyDescent="0.2">
      <c r="B49" s="850">
        <v>40</v>
      </c>
      <c r="C49" s="850" t="s">
        <v>3846</v>
      </c>
      <c r="D49" s="850" t="s">
        <v>2566</v>
      </c>
      <c r="E49" s="851" t="s">
        <v>3847</v>
      </c>
      <c r="F49" s="850" t="s">
        <v>2229</v>
      </c>
      <c r="G49" s="852">
        <v>0.2</v>
      </c>
      <c r="H49" s="853">
        <v>0</v>
      </c>
      <c r="I49" s="853">
        <v>0</v>
      </c>
      <c r="J49" s="853">
        <v>0</v>
      </c>
      <c r="K49" s="854">
        <v>0</v>
      </c>
      <c r="L49" s="851" t="s">
        <v>2566</v>
      </c>
      <c r="M49" s="851" t="s">
        <v>3848</v>
      </c>
    </row>
    <row r="50" spans="2:13" s="281" customFormat="1" x14ac:dyDescent="0.2">
      <c r="B50" s="282"/>
      <c r="C50" s="282"/>
      <c r="D50" s="282"/>
      <c r="E50" s="283"/>
      <c r="F50" s="282"/>
      <c r="G50" s="284"/>
      <c r="H50" s="858"/>
      <c r="I50" s="858"/>
      <c r="J50" s="858"/>
      <c r="K50" s="859"/>
      <c r="L50" s="283"/>
      <c r="M50" s="283"/>
    </row>
    <row r="51" spans="2:13" x14ac:dyDescent="0.2">
      <c r="B51" s="860"/>
      <c r="C51" s="1120" t="s">
        <v>2181</v>
      </c>
      <c r="D51" s="1120"/>
      <c r="E51" s="1120"/>
      <c r="F51" s="861">
        <f>SUM(F10:F49)</f>
        <v>21732</v>
      </c>
      <c r="G51" s="862" t="s">
        <v>3849</v>
      </c>
      <c r="H51" s="863">
        <f>SUM(H10:H49)</f>
        <v>7422445760</v>
      </c>
      <c r="I51" s="863">
        <f>SUM(I10:I49)</f>
        <v>13826651120.58</v>
      </c>
      <c r="J51" s="863">
        <f>SUM(J10:J49)</f>
        <v>211651123.30000001</v>
      </c>
      <c r="K51" s="863">
        <f>SUM(K10:K49)</f>
        <v>14038302243.880001</v>
      </c>
      <c r="L51" s="289"/>
      <c r="M51" s="289"/>
    </row>
    <row r="52" spans="2:13" x14ac:dyDescent="0.2">
      <c r="B52" s="276"/>
      <c r="C52" s="838"/>
      <c r="D52" s="838"/>
      <c r="E52" s="864"/>
      <c r="F52" s="293"/>
      <c r="G52" s="865"/>
      <c r="H52" s="866"/>
      <c r="I52" s="866"/>
      <c r="J52" s="866"/>
      <c r="K52" s="866"/>
      <c r="L52" s="276"/>
      <c r="M52" s="276"/>
    </row>
    <row r="53" spans="2:13" x14ac:dyDescent="0.2">
      <c r="B53" s="276"/>
      <c r="C53" s="838"/>
      <c r="D53" s="838"/>
      <c r="E53" s="864"/>
      <c r="F53" s="293"/>
      <c r="G53" s="865"/>
      <c r="H53" s="866"/>
      <c r="I53" s="866"/>
      <c r="J53" s="866"/>
      <c r="K53" s="866"/>
      <c r="L53" s="276"/>
      <c r="M53" s="276"/>
    </row>
    <row r="54" spans="2:13" x14ac:dyDescent="0.2">
      <c r="B54" s="276"/>
      <c r="C54" s="276"/>
      <c r="D54" s="276"/>
      <c r="E54" s="276"/>
      <c r="F54" s="276"/>
      <c r="G54" s="276"/>
      <c r="H54" s="276"/>
      <c r="I54" s="276"/>
      <c r="J54" s="276"/>
      <c r="K54" s="276"/>
      <c r="L54" s="276"/>
      <c r="M54" s="276"/>
    </row>
  </sheetData>
  <mergeCells count="14">
    <mergeCell ref="C51:E51"/>
    <mergeCell ref="G8:G9"/>
    <mergeCell ref="H8:H9"/>
    <mergeCell ref="I8:K8"/>
    <mergeCell ref="L8:L9"/>
    <mergeCell ref="B1:M3"/>
    <mergeCell ref="B5:G5"/>
    <mergeCell ref="B6:G6"/>
    <mergeCell ref="M8:M9"/>
    <mergeCell ref="B8:B9"/>
    <mergeCell ref="C8:C9"/>
    <mergeCell ref="D8:D9"/>
    <mergeCell ref="E8:E9"/>
    <mergeCell ref="F8:F9"/>
  </mergeCells>
  <phoneticPr fontId="7" type="noConversion"/>
  <hyperlinks>
    <hyperlink ref="E45" location="'88'!A1" display="ACTUALIZACIÓN PLANTA PILOTO CITA "/>
    <hyperlink ref="E44" location="'87'!A1" display="AULAS SEDE REGIONAL DEL ATLANTICO"/>
  </hyperlinks>
  <pageMargins left="1.1417322834645669" right="0.35433070866141736" top="0.78740157480314965" bottom="0.74803149606299213" header="0.31496062992125984" footer="0.31496062992125984"/>
  <pageSetup paperSize="9" scale="57" orientation="landscape" r:id="rId1"/>
  <headerFooter>
    <oddFooter>&amp;C&amp;P</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9"/>
  <sheetViews>
    <sheetView workbookViewId="0">
      <selection activeCell="I35" sqref="I35"/>
    </sheetView>
  </sheetViews>
  <sheetFormatPr baseColWidth="10" defaultColWidth="10.85546875" defaultRowHeight="12.75" x14ac:dyDescent="0.2"/>
  <cols>
    <col min="1" max="16384" width="10.85546875" style="28"/>
  </cols>
  <sheetData>
    <row r="19" spans="1:1" x14ac:dyDescent="0.2">
      <c r="A19" s="31"/>
    </row>
  </sheetData>
  <phoneticPr fontId="7" type="noConversion"/>
  <printOptions horizontalCentered="1" verticalCentered="1"/>
  <pageMargins left="1.1811023622047245" right="0.74803149606299213" top="0" bottom="0.98425196850393704" header="0" footer="0"/>
  <pageSetup paperSize="9" scale="76" firstPageNumber="84"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R43"/>
  <sheetViews>
    <sheetView zoomScaleNormal="100" zoomScalePageLayoutView="75" workbookViewId="0">
      <selection activeCell="J49" sqref="J49"/>
    </sheetView>
  </sheetViews>
  <sheetFormatPr baseColWidth="10" defaultColWidth="10.85546875" defaultRowHeight="12" x14ac:dyDescent="0.2"/>
  <cols>
    <col min="1" max="1" width="2.7109375" style="275" customWidth="1"/>
    <col min="2" max="2" width="9.42578125" style="275" customWidth="1"/>
    <col min="3" max="3" width="10.7109375" style="888" customWidth="1"/>
    <col min="4" max="4" width="8.85546875" style="275" customWidth="1"/>
    <col min="5" max="5" width="41" style="276" customWidth="1"/>
    <col min="6" max="6" width="12.28515625" style="276" bestFit="1" customWidth="1"/>
    <col min="7" max="7" width="17.28515625" style="277" bestFit="1" customWidth="1"/>
    <col min="8" max="8" width="25" style="889" bestFit="1" customWidth="1"/>
    <col min="9" max="9" width="24.140625" style="275" bestFit="1" customWidth="1"/>
    <col min="10" max="10" width="16.140625" style="275" bestFit="1" customWidth="1"/>
    <col min="11" max="11" width="15.140625" style="277" bestFit="1" customWidth="1"/>
    <col min="12" max="12" width="12.42578125" style="277" bestFit="1" customWidth="1"/>
    <col min="13" max="13" width="16" style="277" customWidth="1"/>
    <col min="14" max="14" width="45.140625" style="738" customWidth="1"/>
    <col min="15" max="16384" width="10.85546875" style="275"/>
  </cols>
  <sheetData>
    <row r="1" spans="1:17" x14ac:dyDescent="0.2">
      <c r="A1" s="1116" t="s">
        <v>3850</v>
      </c>
      <c r="B1" s="1116"/>
      <c r="C1" s="1116"/>
      <c r="D1" s="1116"/>
      <c r="E1" s="1116"/>
      <c r="F1" s="1116"/>
      <c r="G1" s="1116"/>
      <c r="H1" s="1116"/>
      <c r="I1" s="1116"/>
      <c r="J1" s="1116"/>
      <c r="K1" s="1116"/>
      <c r="L1" s="1116"/>
      <c r="M1" s="1116"/>
      <c r="N1" s="1116"/>
    </row>
    <row r="2" spans="1:17" x14ac:dyDescent="0.2">
      <c r="A2" s="1116"/>
      <c r="B2" s="1116"/>
      <c r="C2" s="1116"/>
      <c r="D2" s="1116"/>
      <c r="E2" s="1116"/>
      <c r="F2" s="1116"/>
      <c r="G2" s="1116"/>
      <c r="H2" s="1116"/>
      <c r="I2" s="1116"/>
      <c r="J2" s="1116"/>
      <c r="K2" s="1116"/>
      <c r="L2" s="1116"/>
      <c r="M2" s="1116"/>
      <c r="N2" s="1116"/>
    </row>
    <row r="3" spans="1:17" x14ac:dyDescent="0.2">
      <c r="A3" s="1116"/>
      <c r="B3" s="1116"/>
      <c r="C3" s="1116"/>
      <c r="D3" s="1116"/>
      <c r="E3" s="1116"/>
      <c r="F3" s="1116"/>
      <c r="G3" s="1116"/>
      <c r="H3" s="1116"/>
      <c r="I3" s="1116"/>
      <c r="J3" s="1116"/>
      <c r="K3" s="1116"/>
      <c r="L3" s="1116"/>
      <c r="M3" s="1116"/>
      <c r="N3" s="1116"/>
    </row>
    <row r="4" spans="1:17" x14ac:dyDescent="0.2">
      <c r="A4" s="278" t="s">
        <v>3851</v>
      </c>
      <c r="B4" s="278"/>
      <c r="C4" s="867"/>
      <c r="D4" s="278"/>
      <c r="E4" s="278"/>
      <c r="F4" s="278"/>
      <c r="G4" s="278"/>
      <c r="H4" s="275"/>
      <c r="I4" s="868"/>
      <c r="J4" s="869"/>
      <c r="K4" s="870"/>
      <c r="L4" s="871"/>
      <c r="M4" s="871"/>
      <c r="N4" s="872"/>
    </row>
    <row r="5" spans="1:17" x14ac:dyDescent="0.2">
      <c r="A5" s="873"/>
      <c r="B5" s="873"/>
      <c r="C5" s="874"/>
      <c r="D5" s="873"/>
      <c r="E5" s="873"/>
      <c r="F5" s="873"/>
      <c r="G5" s="873"/>
      <c r="H5" s="875"/>
      <c r="I5" s="873"/>
      <c r="J5" s="873"/>
      <c r="K5" s="873"/>
      <c r="L5" s="876"/>
      <c r="M5" s="876"/>
      <c r="N5" s="877"/>
    </row>
    <row r="6" spans="1:17" ht="36" x14ac:dyDescent="0.2">
      <c r="A6" s="849" t="s">
        <v>2178</v>
      </c>
      <c r="B6" s="849" t="s">
        <v>2182</v>
      </c>
      <c r="C6" s="849" t="s">
        <v>2183</v>
      </c>
      <c r="D6" s="849" t="s">
        <v>2867</v>
      </c>
      <c r="E6" s="849" t="s">
        <v>2184</v>
      </c>
      <c r="F6" s="849" t="s">
        <v>2185</v>
      </c>
      <c r="G6" s="849" t="s">
        <v>3852</v>
      </c>
      <c r="H6" s="849" t="s">
        <v>2187</v>
      </c>
      <c r="I6" s="849" t="s">
        <v>2188</v>
      </c>
      <c r="J6" s="849" t="s">
        <v>2189</v>
      </c>
      <c r="K6" s="849" t="s">
        <v>2190</v>
      </c>
      <c r="L6" s="849" t="s">
        <v>2191</v>
      </c>
      <c r="M6" s="849" t="s">
        <v>3853</v>
      </c>
      <c r="N6" s="849" t="s">
        <v>2192</v>
      </c>
    </row>
    <row r="7" spans="1:17" s="855" customFormat="1" ht="84" x14ac:dyDescent="0.2">
      <c r="A7" s="850">
        <v>1</v>
      </c>
      <c r="B7" s="878">
        <v>900</v>
      </c>
      <c r="C7" s="850"/>
      <c r="D7" s="878">
        <v>2016</v>
      </c>
      <c r="E7" s="851" t="s">
        <v>2869</v>
      </c>
      <c r="F7" s="850" t="s">
        <v>2566</v>
      </c>
      <c r="G7" s="852" t="s">
        <v>2563</v>
      </c>
      <c r="H7" s="879" t="s">
        <v>3854</v>
      </c>
      <c r="I7" s="880">
        <v>133739223.79000001</v>
      </c>
      <c r="J7" s="881">
        <v>133739223.79000001</v>
      </c>
      <c r="K7" s="850" t="s">
        <v>2200</v>
      </c>
      <c r="L7" s="850" t="s">
        <v>2873</v>
      </c>
      <c r="M7" s="881" t="s">
        <v>2870</v>
      </c>
      <c r="N7" s="882" t="s">
        <v>3855</v>
      </c>
    </row>
    <row r="8" spans="1:17" s="855" customFormat="1" ht="36" x14ac:dyDescent="0.2">
      <c r="A8" s="850">
        <v>2</v>
      </c>
      <c r="B8" s="850">
        <v>907</v>
      </c>
      <c r="C8" s="850"/>
      <c r="D8" s="850">
        <v>2015</v>
      </c>
      <c r="E8" s="851" t="s">
        <v>2565</v>
      </c>
      <c r="F8" s="850" t="s">
        <v>2566</v>
      </c>
      <c r="G8" s="852" t="s">
        <v>2586</v>
      </c>
      <c r="H8" s="879" t="s">
        <v>2194</v>
      </c>
      <c r="I8" s="881">
        <v>15000000</v>
      </c>
      <c r="J8" s="880">
        <v>15000000</v>
      </c>
      <c r="K8" s="850" t="s">
        <v>2195</v>
      </c>
      <c r="L8" s="850" t="s">
        <v>2196</v>
      </c>
      <c r="M8" s="881" t="s">
        <v>3856</v>
      </c>
      <c r="N8" s="857" t="s">
        <v>3857</v>
      </c>
      <c r="O8" s="283"/>
    </row>
    <row r="9" spans="1:17" s="855" customFormat="1" ht="24" x14ac:dyDescent="0.2">
      <c r="A9" s="850">
        <v>3</v>
      </c>
      <c r="B9" s="878">
        <v>929</v>
      </c>
      <c r="C9" s="850"/>
      <c r="D9" s="878">
        <v>2013</v>
      </c>
      <c r="E9" s="851" t="s">
        <v>3858</v>
      </c>
      <c r="F9" s="850">
        <v>650</v>
      </c>
      <c r="G9" s="852" t="s">
        <v>2563</v>
      </c>
      <c r="H9" s="879" t="s">
        <v>3859</v>
      </c>
      <c r="I9" s="880">
        <v>0</v>
      </c>
      <c r="J9" s="881">
        <v>359000000</v>
      </c>
      <c r="K9" s="850" t="s">
        <v>2200</v>
      </c>
      <c r="L9" s="850" t="s">
        <v>2873</v>
      </c>
      <c r="M9" s="881" t="s">
        <v>3856</v>
      </c>
      <c r="N9" s="882" t="s">
        <v>3860</v>
      </c>
    </row>
    <row r="10" spans="1:17" s="855" customFormat="1" ht="24" x14ac:dyDescent="0.2">
      <c r="A10" s="850">
        <v>4</v>
      </c>
      <c r="B10" s="878">
        <v>930</v>
      </c>
      <c r="C10" s="850"/>
      <c r="D10" s="878">
        <v>2015</v>
      </c>
      <c r="E10" s="851" t="s">
        <v>2856</v>
      </c>
      <c r="F10" s="850">
        <v>10870</v>
      </c>
      <c r="G10" s="852" t="s">
        <v>2586</v>
      </c>
      <c r="H10" s="879" t="s">
        <v>3861</v>
      </c>
      <c r="I10" s="880">
        <v>0</v>
      </c>
      <c r="J10" s="881">
        <v>91575000</v>
      </c>
      <c r="K10" s="850" t="s">
        <v>2195</v>
      </c>
      <c r="L10" s="850" t="s">
        <v>2873</v>
      </c>
      <c r="M10" s="881" t="s">
        <v>3856</v>
      </c>
      <c r="N10" s="882" t="s">
        <v>3862</v>
      </c>
    </row>
    <row r="11" spans="1:17" s="855" customFormat="1" ht="36" x14ac:dyDescent="0.2">
      <c r="A11" s="850">
        <v>5</v>
      </c>
      <c r="B11" s="878">
        <v>931</v>
      </c>
      <c r="C11" s="850"/>
      <c r="D11" s="878">
        <v>2016</v>
      </c>
      <c r="E11" s="851" t="s">
        <v>3863</v>
      </c>
      <c r="F11" s="850">
        <v>140</v>
      </c>
      <c r="G11" s="852" t="s">
        <v>2563</v>
      </c>
      <c r="H11" s="879" t="s">
        <v>2194</v>
      </c>
      <c r="I11" s="880">
        <v>0</v>
      </c>
      <c r="J11" s="881">
        <v>88200000</v>
      </c>
      <c r="K11" s="850" t="s">
        <v>2200</v>
      </c>
      <c r="L11" s="850" t="s">
        <v>2196</v>
      </c>
      <c r="M11" s="881" t="s">
        <v>3856</v>
      </c>
      <c r="N11" s="882" t="s">
        <v>3864</v>
      </c>
    </row>
    <row r="12" spans="1:17" s="855" customFormat="1" ht="108" x14ac:dyDescent="0.2">
      <c r="A12" s="850">
        <v>6</v>
      </c>
      <c r="B12" s="878">
        <v>934</v>
      </c>
      <c r="C12" s="850"/>
      <c r="D12" s="878" t="s">
        <v>2875</v>
      </c>
      <c r="E12" s="851" t="s">
        <v>2876</v>
      </c>
      <c r="F12" s="850">
        <v>1010</v>
      </c>
      <c r="G12" s="852" t="s">
        <v>2563</v>
      </c>
      <c r="H12" s="879" t="s">
        <v>2194</v>
      </c>
      <c r="I12" s="880">
        <v>540000000</v>
      </c>
      <c r="J12" s="881">
        <v>15000000</v>
      </c>
      <c r="K12" s="850" t="s">
        <v>2195</v>
      </c>
      <c r="L12" s="850" t="s">
        <v>2196</v>
      </c>
      <c r="M12" s="881" t="s">
        <v>3865</v>
      </c>
      <c r="N12" s="882" t="s">
        <v>3866</v>
      </c>
    </row>
    <row r="13" spans="1:17" s="855" customFormat="1" ht="24" x14ac:dyDescent="0.2">
      <c r="A13" s="850">
        <v>7</v>
      </c>
      <c r="B13" s="878">
        <v>935</v>
      </c>
      <c r="C13" s="850"/>
      <c r="D13" s="878">
        <v>2015</v>
      </c>
      <c r="E13" s="851" t="s">
        <v>3867</v>
      </c>
      <c r="F13" s="850">
        <v>250</v>
      </c>
      <c r="G13" s="852" t="s">
        <v>2563</v>
      </c>
      <c r="H13" s="879" t="s">
        <v>3868</v>
      </c>
      <c r="I13" s="880">
        <v>142844284.5</v>
      </c>
      <c r="J13" s="881">
        <v>111650000</v>
      </c>
      <c r="K13" s="850" t="s">
        <v>2200</v>
      </c>
      <c r="L13" s="850" t="s">
        <v>2873</v>
      </c>
      <c r="M13" s="881" t="s">
        <v>3856</v>
      </c>
      <c r="N13" s="882" t="s">
        <v>3869</v>
      </c>
    </row>
    <row r="14" spans="1:17" s="280" customFormat="1" ht="36" x14ac:dyDescent="0.2">
      <c r="A14" s="850">
        <v>8</v>
      </c>
      <c r="B14" s="878">
        <v>941</v>
      </c>
      <c r="C14" s="850"/>
      <c r="D14" s="878">
        <v>2015</v>
      </c>
      <c r="E14" s="851" t="s">
        <v>2859</v>
      </c>
      <c r="F14" s="850">
        <v>100</v>
      </c>
      <c r="G14" s="852" t="s">
        <v>2563</v>
      </c>
      <c r="H14" s="879" t="s">
        <v>2194</v>
      </c>
      <c r="I14" s="880">
        <v>0</v>
      </c>
      <c r="J14" s="881">
        <v>65000000</v>
      </c>
      <c r="K14" s="850" t="s">
        <v>2200</v>
      </c>
      <c r="L14" s="850" t="s">
        <v>2196</v>
      </c>
      <c r="M14" s="881" t="s">
        <v>3856</v>
      </c>
      <c r="N14" s="882" t="s">
        <v>3870</v>
      </c>
      <c r="O14" s="855"/>
      <c r="P14" s="855"/>
    </row>
    <row r="15" spans="1:17" s="855" customFormat="1" ht="24" x14ac:dyDescent="0.2">
      <c r="A15" s="850">
        <v>9</v>
      </c>
      <c r="B15" s="878">
        <v>949</v>
      </c>
      <c r="C15" s="850" t="s">
        <v>3871</v>
      </c>
      <c r="D15" s="878">
        <v>2014</v>
      </c>
      <c r="E15" s="851" t="s">
        <v>2581</v>
      </c>
      <c r="F15" s="850">
        <v>130</v>
      </c>
      <c r="G15" s="852" t="s">
        <v>2586</v>
      </c>
      <c r="H15" s="879" t="s">
        <v>3872</v>
      </c>
      <c r="I15" s="880">
        <v>120000000</v>
      </c>
      <c r="J15" s="881">
        <v>120000000</v>
      </c>
      <c r="K15" s="850" t="s">
        <v>2195</v>
      </c>
      <c r="L15" s="850" t="s">
        <v>2873</v>
      </c>
      <c r="M15" s="881" t="s">
        <v>3873</v>
      </c>
      <c r="N15" s="882" t="s">
        <v>3874</v>
      </c>
    </row>
    <row r="16" spans="1:17" s="280" customFormat="1" x14ac:dyDescent="0.2">
      <c r="A16" s="850">
        <v>10</v>
      </c>
      <c r="B16" s="878">
        <v>950</v>
      </c>
      <c r="C16" s="878"/>
      <c r="D16" s="878">
        <v>2017</v>
      </c>
      <c r="E16" s="883" t="s">
        <v>3875</v>
      </c>
      <c r="F16" s="878" t="s">
        <v>2566</v>
      </c>
      <c r="G16" s="878" t="s">
        <v>2563</v>
      </c>
      <c r="H16" s="879" t="s">
        <v>2194</v>
      </c>
      <c r="I16" s="881">
        <v>0</v>
      </c>
      <c r="J16" s="881">
        <v>899496993.19000006</v>
      </c>
      <c r="K16" s="850" t="s">
        <v>2200</v>
      </c>
      <c r="L16" s="850" t="s">
        <v>2196</v>
      </c>
      <c r="M16" s="881" t="s">
        <v>3856</v>
      </c>
      <c r="N16" s="883"/>
      <c r="O16" s="855"/>
      <c r="P16" s="855"/>
      <c r="Q16" s="855"/>
    </row>
    <row r="17" spans="1:18" s="855" customFormat="1" ht="24" x14ac:dyDescent="0.2">
      <c r="A17" s="850">
        <v>11</v>
      </c>
      <c r="B17" s="878" t="s">
        <v>2197</v>
      </c>
      <c r="C17" s="850"/>
      <c r="D17" s="878" t="s">
        <v>2875</v>
      </c>
      <c r="E17" s="851" t="s">
        <v>2878</v>
      </c>
      <c r="F17" s="850">
        <v>50</v>
      </c>
      <c r="G17" s="852" t="s">
        <v>2563</v>
      </c>
      <c r="H17" s="879" t="s">
        <v>2198</v>
      </c>
      <c r="I17" s="880">
        <v>55000000</v>
      </c>
      <c r="J17" s="881">
        <v>55000000</v>
      </c>
      <c r="K17" s="850" t="s">
        <v>2199</v>
      </c>
      <c r="L17" s="850" t="s">
        <v>3876</v>
      </c>
      <c r="M17" s="881" t="s">
        <v>3856</v>
      </c>
      <c r="N17" s="882" t="s">
        <v>3877</v>
      </c>
    </row>
    <row r="18" spans="1:18" s="280" customFormat="1" ht="24" x14ac:dyDescent="0.2">
      <c r="A18" s="850">
        <v>12</v>
      </c>
      <c r="B18" s="878">
        <v>953</v>
      </c>
      <c r="C18" s="850"/>
      <c r="D18" s="878">
        <v>2017</v>
      </c>
      <c r="E18" s="851" t="s">
        <v>3878</v>
      </c>
      <c r="F18" s="850" t="s">
        <v>2566</v>
      </c>
      <c r="G18" s="852" t="s">
        <v>2586</v>
      </c>
      <c r="H18" s="879" t="s">
        <v>2194</v>
      </c>
      <c r="I18" s="880">
        <v>0</v>
      </c>
      <c r="J18" s="881">
        <v>15000000</v>
      </c>
      <c r="K18" s="850" t="s">
        <v>2200</v>
      </c>
      <c r="L18" s="850" t="s">
        <v>2873</v>
      </c>
      <c r="M18" s="881" t="s">
        <v>3856</v>
      </c>
      <c r="N18" s="882"/>
      <c r="O18" s="855"/>
      <c r="P18" s="855"/>
    </row>
    <row r="19" spans="1:18" s="855" customFormat="1" ht="24" x14ac:dyDescent="0.2">
      <c r="A19" s="850">
        <v>13</v>
      </c>
      <c r="B19" s="878">
        <v>956</v>
      </c>
      <c r="C19" s="850"/>
      <c r="D19" s="878">
        <v>2017</v>
      </c>
      <c r="E19" s="851" t="s">
        <v>3879</v>
      </c>
      <c r="F19" s="850" t="s">
        <v>2566</v>
      </c>
      <c r="G19" s="852" t="s">
        <v>2586</v>
      </c>
      <c r="H19" s="879" t="s">
        <v>2194</v>
      </c>
      <c r="I19" s="880">
        <v>0</v>
      </c>
      <c r="J19" s="881">
        <v>15000000</v>
      </c>
      <c r="K19" s="850" t="s">
        <v>2195</v>
      </c>
      <c r="L19" s="850" t="s">
        <v>2196</v>
      </c>
      <c r="M19" s="881" t="s">
        <v>3856</v>
      </c>
      <c r="N19" s="851"/>
    </row>
    <row r="20" spans="1:18" s="855" customFormat="1" ht="24" x14ac:dyDescent="0.2">
      <c r="A20" s="850">
        <v>14</v>
      </c>
      <c r="B20" s="878">
        <v>961</v>
      </c>
      <c r="C20" s="850"/>
      <c r="D20" s="878">
        <v>2016</v>
      </c>
      <c r="E20" s="851" t="s">
        <v>3880</v>
      </c>
      <c r="F20" s="850" t="s">
        <v>2566</v>
      </c>
      <c r="G20" s="852" t="s">
        <v>2563</v>
      </c>
      <c r="H20" s="879" t="s">
        <v>3881</v>
      </c>
      <c r="I20" s="880">
        <v>252000000</v>
      </c>
      <c r="J20" s="881">
        <v>541624936.89999998</v>
      </c>
      <c r="K20" s="850" t="s">
        <v>2200</v>
      </c>
      <c r="L20" s="850" t="s">
        <v>2873</v>
      </c>
      <c r="M20" s="881" t="s">
        <v>3856</v>
      </c>
      <c r="N20" s="882" t="s">
        <v>3882</v>
      </c>
    </row>
    <row r="21" spans="1:18" s="855" customFormat="1" ht="24" x14ac:dyDescent="0.2">
      <c r="A21" s="850">
        <v>15</v>
      </c>
      <c r="B21" s="878">
        <v>969</v>
      </c>
      <c r="C21" s="850"/>
      <c r="D21" s="878">
        <v>2017</v>
      </c>
      <c r="E21" s="851" t="s">
        <v>3883</v>
      </c>
      <c r="F21" s="850">
        <v>2910</v>
      </c>
      <c r="G21" s="852" t="s">
        <v>2563</v>
      </c>
      <c r="H21" s="879" t="s">
        <v>2194</v>
      </c>
      <c r="I21" s="880">
        <v>0</v>
      </c>
      <c r="J21" s="881">
        <v>720000000</v>
      </c>
      <c r="K21" s="850" t="s">
        <v>2200</v>
      </c>
      <c r="L21" s="850" t="s">
        <v>2196</v>
      </c>
      <c r="M21" s="881" t="s">
        <v>3856</v>
      </c>
      <c r="N21" s="882"/>
    </row>
    <row r="22" spans="1:18" s="855" customFormat="1" ht="24" x14ac:dyDescent="0.2">
      <c r="A22" s="850">
        <v>16</v>
      </c>
      <c r="B22" s="878">
        <v>972</v>
      </c>
      <c r="C22" s="850"/>
      <c r="D22" s="878">
        <v>2016</v>
      </c>
      <c r="E22" s="851" t="s">
        <v>3884</v>
      </c>
      <c r="F22" s="850" t="s">
        <v>2566</v>
      </c>
      <c r="G22" s="852" t="s">
        <v>2563</v>
      </c>
      <c r="H22" s="879" t="s">
        <v>3885</v>
      </c>
      <c r="I22" s="880">
        <v>0</v>
      </c>
      <c r="J22" s="881">
        <v>220000000</v>
      </c>
      <c r="K22" s="850" t="s">
        <v>2200</v>
      </c>
      <c r="L22" s="850" t="s">
        <v>2873</v>
      </c>
      <c r="M22" s="881" t="s">
        <v>3856</v>
      </c>
      <c r="N22" s="882" t="s">
        <v>3886</v>
      </c>
    </row>
    <row r="23" spans="1:18" s="855" customFormat="1" ht="36" x14ac:dyDescent="0.2">
      <c r="A23" s="850">
        <v>17</v>
      </c>
      <c r="B23" s="878">
        <v>973</v>
      </c>
      <c r="C23" s="850"/>
      <c r="D23" s="878">
        <v>2017</v>
      </c>
      <c r="E23" s="851" t="s">
        <v>3887</v>
      </c>
      <c r="F23" s="850" t="s">
        <v>2566</v>
      </c>
      <c r="G23" s="852" t="s">
        <v>2586</v>
      </c>
      <c r="H23" s="879" t="s">
        <v>2194</v>
      </c>
      <c r="I23" s="880">
        <v>0</v>
      </c>
      <c r="J23" s="881">
        <v>37426090</v>
      </c>
      <c r="K23" s="850" t="s">
        <v>2195</v>
      </c>
      <c r="L23" s="850" t="s">
        <v>2873</v>
      </c>
      <c r="M23" s="881" t="s">
        <v>3856</v>
      </c>
      <c r="N23" s="882" t="s">
        <v>3888</v>
      </c>
    </row>
    <row r="24" spans="1:18" s="855" customFormat="1" ht="24" x14ac:dyDescent="0.2">
      <c r="A24" s="850">
        <v>18</v>
      </c>
      <c r="B24" s="878">
        <v>973</v>
      </c>
      <c r="C24" s="850"/>
      <c r="D24" s="878">
        <v>2017</v>
      </c>
      <c r="E24" s="851" t="s">
        <v>3889</v>
      </c>
      <c r="F24" s="850" t="s">
        <v>2566</v>
      </c>
      <c r="G24" s="852" t="s">
        <v>2586</v>
      </c>
      <c r="H24" s="879" t="s">
        <v>2194</v>
      </c>
      <c r="I24" s="880">
        <v>0</v>
      </c>
      <c r="J24" s="881">
        <v>23000000</v>
      </c>
      <c r="K24" s="850" t="s">
        <v>2195</v>
      </c>
      <c r="L24" s="850" t="s">
        <v>2196</v>
      </c>
      <c r="M24" s="881" t="s">
        <v>3856</v>
      </c>
      <c r="N24" s="882" t="s">
        <v>3890</v>
      </c>
    </row>
    <row r="25" spans="1:18" s="855" customFormat="1" ht="25.5" customHeight="1" x14ac:dyDescent="0.2">
      <c r="A25" s="850">
        <v>19</v>
      </c>
      <c r="B25" s="878">
        <v>973</v>
      </c>
      <c r="C25" s="850"/>
      <c r="D25" s="878">
        <v>2016</v>
      </c>
      <c r="E25" s="851" t="s">
        <v>3891</v>
      </c>
      <c r="F25" s="850" t="s">
        <v>2566</v>
      </c>
      <c r="G25" s="852" t="s">
        <v>2586</v>
      </c>
      <c r="H25" s="879" t="s">
        <v>3892</v>
      </c>
      <c r="I25" s="880">
        <v>0</v>
      </c>
      <c r="J25" s="881">
        <v>22400000</v>
      </c>
      <c r="K25" s="850" t="s">
        <v>2195</v>
      </c>
      <c r="L25" s="850" t="s">
        <v>3876</v>
      </c>
      <c r="M25" s="881" t="s">
        <v>3856</v>
      </c>
      <c r="N25" s="882" t="s">
        <v>3893</v>
      </c>
    </row>
    <row r="26" spans="1:18" s="855" customFormat="1" ht="24" x14ac:dyDescent="0.2">
      <c r="A26" s="850">
        <v>20</v>
      </c>
      <c r="B26" s="878">
        <v>976</v>
      </c>
      <c r="C26" s="850">
        <v>5505</v>
      </c>
      <c r="D26" s="878">
        <v>2014</v>
      </c>
      <c r="E26" s="851" t="s">
        <v>3894</v>
      </c>
      <c r="F26" s="850">
        <v>1000</v>
      </c>
      <c r="G26" s="852" t="s">
        <v>2563</v>
      </c>
      <c r="H26" s="879" t="s">
        <v>3868</v>
      </c>
      <c r="I26" s="880">
        <v>151730000</v>
      </c>
      <c r="J26" s="881">
        <v>145354930</v>
      </c>
      <c r="K26" s="850" t="s">
        <v>2200</v>
      </c>
      <c r="L26" s="850" t="s">
        <v>2873</v>
      </c>
      <c r="M26" s="881" t="s">
        <v>3856</v>
      </c>
      <c r="N26" s="882" t="s">
        <v>3895</v>
      </c>
    </row>
    <row r="27" spans="1:18" s="855" customFormat="1" ht="48" x14ac:dyDescent="0.2">
      <c r="A27" s="850">
        <v>21</v>
      </c>
      <c r="B27" s="878">
        <v>977</v>
      </c>
      <c r="C27" s="850"/>
      <c r="D27" s="878">
        <v>2012</v>
      </c>
      <c r="E27" s="851" t="s">
        <v>3896</v>
      </c>
      <c r="F27" s="850">
        <v>230</v>
      </c>
      <c r="G27" s="852" t="s">
        <v>2563</v>
      </c>
      <c r="H27" s="879" t="s">
        <v>2194</v>
      </c>
      <c r="I27" s="880">
        <v>180000000</v>
      </c>
      <c r="J27" s="881">
        <v>64496993.189999998</v>
      </c>
      <c r="K27" s="850" t="s">
        <v>2200</v>
      </c>
      <c r="L27" s="850" t="s">
        <v>2196</v>
      </c>
      <c r="M27" s="881" t="s">
        <v>3856</v>
      </c>
      <c r="N27" s="882" t="s">
        <v>3897</v>
      </c>
    </row>
    <row r="28" spans="1:18" s="855" customFormat="1" ht="24" x14ac:dyDescent="0.2">
      <c r="A28" s="850">
        <v>22</v>
      </c>
      <c r="B28" s="850">
        <v>979</v>
      </c>
      <c r="C28" s="884"/>
      <c r="D28" s="850">
        <v>2016</v>
      </c>
      <c r="E28" s="851" t="s">
        <v>3898</v>
      </c>
      <c r="F28" s="850" t="s">
        <v>2566</v>
      </c>
      <c r="G28" s="850" t="s">
        <v>2580</v>
      </c>
      <c r="H28" s="885" t="s">
        <v>3899</v>
      </c>
      <c r="I28" s="886">
        <v>0</v>
      </c>
      <c r="J28" s="881">
        <v>1490000000</v>
      </c>
      <c r="K28" s="887" t="s">
        <v>2200</v>
      </c>
      <c r="L28" s="850" t="s">
        <v>2873</v>
      </c>
      <c r="M28" s="881" t="s">
        <v>3856</v>
      </c>
      <c r="N28" s="882" t="s">
        <v>3900</v>
      </c>
    </row>
    <row r="29" spans="1:18" x14ac:dyDescent="0.2">
      <c r="A29" s="855"/>
      <c r="E29" s="275"/>
      <c r="F29" s="275"/>
      <c r="G29" s="275"/>
      <c r="K29" s="275"/>
      <c r="M29" s="275"/>
      <c r="N29" s="843"/>
      <c r="P29" s="855"/>
      <c r="Q29" s="855"/>
      <c r="R29" s="855"/>
    </row>
    <row r="30" spans="1:18" x14ac:dyDescent="0.2">
      <c r="B30" s="855"/>
      <c r="E30" s="890" t="s">
        <v>2181</v>
      </c>
      <c r="F30" s="890">
        <f>SUM(F7:F28)</f>
        <v>17340</v>
      </c>
      <c r="G30" s="292"/>
      <c r="H30" s="891" t="s">
        <v>2181</v>
      </c>
      <c r="I30" s="892">
        <f>SUM(I7:I28)</f>
        <v>1590313508.29</v>
      </c>
      <c r="J30" s="893">
        <f>SUM(J7:J28)</f>
        <v>5247964167.0699997</v>
      </c>
      <c r="P30" s="855"/>
      <c r="Q30" s="855"/>
      <c r="R30" s="855"/>
    </row>
    <row r="31" spans="1:18" x14ac:dyDescent="0.2">
      <c r="B31" s="855"/>
      <c r="G31" s="276"/>
      <c r="H31" s="894"/>
      <c r="I31" s="276"/>
      <c r="J31" s="276"/>
      <c r="P31" s="855"/>
      <c r="Q31" s="855"/>
      <c r="R31" s="855"/>
    </row>
    <row r="32" spans="1:18" x14ac:dyDescent="0.2">
      <c r="A32" s="278" t="s">
        <v>2603</v>
      </c>
      <c r="B32" s="278"/>
      <c r="C32" s="895"/>
      <c r="D32" s="896"/>
      <c r="E32" s="278"/>
      <c r="F32" s="278"/>
      <c r="G32" s="292"/>
      <c r="H32" s="897"/>
      <c r="I32" s="868"/>
      <c r="J32" s="869"/>
      <c r="K32" s="870"/>
      <c r="L32" s="871"/>
      <c r="M32" s="871"/>
      <c r="N32" s="872"/>
    </row>
    <row r="33" spans="1:14" ht="24" x14ac:dyDescent="0.2">
      <c r="A33" s="898" t="s">
        <v>2178</v>
      </c>
      <c r="B33" s="898" t="s">
        <v>2182</v>
      </c>
      <c r="C33" s="898" t="s">
        <v>2183</v>
      </c>
      <c r="D33" s="898" t="s">
        <v>2867</v>
      </c>
      <c r="E33" s="898" t="s">
        <v>2184</v>
      </c>
      <c r="F33" s="898" t="s">
        <v>2185</v>
      </c>
      <c r="G33" s="898" t="s">
        <v>2186</v>
      </c>
      <c r="H33" s="899" t="s">
        <v>2187</v>
      </c>
      <c r="I33" s="898" t="s">
        <v>2188</v>
      </c>
      <c r="J33" s="898" t="s">
        <v>2189</v>
      </c>
      <c r="K33" s="898" t="s">
        <v>2190</v>
      </c>
      <c r="L33" s="898" t="s">
        <v>2191</v>
      </c>
      <c r="M33" s="898" t="s">
        <v>2868</v>
      </c>
      <c r="N33" s="900" t="s">
        <v>2192</v>
      </c>
    </row>
    <row r="34" spans="1:14" s="855" customFormat="1" ht="24" x14ac:dyDescent="0.2">
      <c r="A34" s="850">
        <v>1</v>
      </c>
      <c r="B34" s="901">
        <v>973</v>
      </c>
      <c r="C34" s="884" t="s">
        <v>3901</v>
      </c>
      <c r="D34" s="902"/>
      <c r="E34" s="851" t="s">
        <v>2589</v>
      </c>
      <c r="F34" s="850">
        <v>3000</v>
      </c>
      <c r="G34" s="850" t="s">
        <v>2605</v>
      </c>
      <c r="H34" s="885" t="s">
        <v>2605</v>
      </c>
      <c r="I34" s="886">
        <v>3145000</v>
      </c>
      <c r="J34" s="886">
        <v>0</v>
      </c>
      <c r="K34" s="887" t="s">
        <v>2200</v>
      </c>
      <c r="L34" s="887" t="s">
        <v>2873</v>
      </c>
      <c r="M34" s="903" t="s">
        <v>2588</v>
      </c>
      <c r="N34" s="882" t="s">
        <v>3902</v>
      </c>
    </row>
    <row r="35" spans="1:14" s="855" customFormat="1" ht="24" x14ac:dyDescent="0.2">
      <c r="A35" s="850">
        <v>2</v>
      </c>
      <c r="B35" s="850">
        <v>973</v>
      </c>
      <c r="C35" s="884" t="s">
        <v>3903</v>
      </c>
      <c r="D35" s="850">
        <v>2014</v>
      </c>
      <c r="E35" s="851" t="s">
        <v>2595</v>
      </c>
      <c r="F35" s="850">
        <v>2857</v>
      </c>
      <c r="G35" s="850" t="s">
        <v>2605</v>
      </c>
      <c r="H35" s="885" t="s">
        <v>2605</v>
      </c>
      <c r="I35" s="886">
        <v>1398100000</v>
      </c>
      <c r="J35" s="886">
        <v>0</v>
      </c>
      <c r="K35" s="887" t="s">
        <v>2200</v>
      </c>
      <c r="L35" s="903" t="s">
        <v>2873</v>
      </c>
      <c r="M35" s="903" t="s">
        <v>2588</v>
      </c>
      <c r="N35" s="882" t="s">
        <v>3904</v>
      </c>
    </row>
    <row r="36" spans="1:14" s="855" customFormat="1" ht="24" x14ac:dyDescent="0.2">
      <c r="A36" s="850">
        <v>3</v>
      </c>
      <c r="B36" s="850">
        <v>973</v>
      </c>
      <c r="C36" s="884">
        <v>9420</v>
      </c>
      <c r="D36" s="850">
        <v>2013</v>
      </c>
      <c r="E36" s="851" t="s">
        <v>2594</v>
      </c>
      <c r="F36" s="850">
        <v>1200</v>
      </c>
      <c r="G36" s="850" t="s">
        <v>2890</v>
      </c>
      <c r="H36" s="885" t="s">
        <v>2605</v>
      </c>
      <c r="I36" s="886">
        <v>3000000</v>
      </c>
      <c r="J36" s="886">
        <v>0</v>
      </c>
      <c r="K36" s="887" t="s">
        <v>2200</v>
      </c>
      <c r="L36" s="903" t="s">
        <v>2873</v>
      </c>
      <c r="M36" s="903" t="s">
        <v>2588</v>
      </c>
      <c r="N36" s="882" t="s">
        <v>3905</v>
      </c>
    </row>
    <row r="37" spans="1:14" x14ac:dyDescent="0.2">
      <c r="E37" s="275"/>
      <c r="F37" s="275"/>
      <c r="G37" s="275"/>
      <c r="K37" s="275"/>
      <c r="M37" s="275"/>
      <c r="N37" s="843"/>
    </row>
    <row r="38" spans="1:14" x14ac:dyDescent="0.2">
      <c r="E38" s="890" t="s">
        <v>2181</v>
      </c>
      <c r="F38" s="890">
        <f>SUM(F34:F36)</f>
        <v>7057</v>
      </c>
      <c r="G38" s="292"/>
      <c r="H38" s="891" t="s">
        <v>2181</v>
      </c>
      <c r="I38" s="904">
        <f>SUM(I34:I36)</f>
        <v>1404245000</v>
      </c>
      <c r="J38" s="904">
        <f>SUM(J34:J36)</f>
        <v>0</v>
      </c>
    </row>
    <row r="43" spans="1:14" x14ac:dyDescent="0.2">
      <c r="I43" s="905"/>
    </row>
  </sheetData>
  <mergeCells count="1">
    <mergeCell ref="A1:N3"/>
  </mergeCells>
  <phoneticPr fontId="7" type="noConversion"/>
  <conditionalFormatting sqref="I32:N32">
    <cfRule type="iconSet" priority="1">
      <iconSet iconSet="3Flags">
        <cfvo type="percent" val="0"/>
        <cfvo type="percent" val="33"/>
        <cfvo type="percent" val="67"/>
      </iconSet>
    </cfRule>
  </conditionalFormatting>
  <conditionalFormatting sqref="H4:N4">
    <cfRule type="iconSet" priority="2">
      <iconSet iconSet="3Flags">
        <cfvo type="percent" val="0"/>
        <cfvo type="percent" val="33"/>
        <cfvo type="percent" val="67"/>
      </iconSet>
    </cfRule>
  </conditionalFormatting>
  <pageMargins left="0.78740157480314965" right="0.78740157480314965" top="0.51181102362204722" bottom="0.55118110236220474" header="0.51181102362204722" footer="0.31496062992125984"/>
  <pageSetup paperSize="9" scale="50" orientation="landscape" r:id="rId1"/>
  <headerFooter>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9"/>
  <sheetViews>
    <sheetView workbookViewId="0">
      <selection activeCell="I35" sqref="I35"/>
    </sheetView>
  </sheetViews>
  <sheetFormatPr baseColWidth="10" defaultColWidth="10.85546875" defaultRowHeight="12.75" x14ac:dyDescent="0.2"/>
  <cols>
    <col min="1" max="16384" width="10.85546875" style="28"/>
  </cols>
  <sheetData>
    <row r="19" spans="1:1" x14ac:dyDescent="0.2">
      <c r="A19" s="31"/>
    </row>
  </sheetData>
  <phoneticPr fontId="7" type="noConversion"/>
  <printOptions horizontalCentered="1" verticalCentered="1"/>
  <pageMargins left="1.1811023622047245" right="0.74803149606299213" top="0" bottom="0.98425196850393704" header="0" footer="0"/>
  <pageSetup paperSize="9" scale="76" firstPageNumber="84"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N87"/>
  <sheetViews>
    <sheetView zoomScale="110" zoomScaleNormal="110" zoomScalePageLayoutView="110" workbookViewId="0">
      <selection sqref="A1:G1"/>
    </sheetView>
  </sheetViews>
  <sheetFormatPr baseColWidth="10" defaultColWidth="10.85546875" defaultRowHeight="12.75" x14ac:dyDescent="0.2"/>
  <cols>
    <col min="1" max="1" width="57.42578125" style="17" customWidth="1"/>
    <col min="2" max="2" width="2.7109375" style="17" customWidth="1"/>
    <col min="3" max="3" width="4.42578125" style="199" customWidth="1"/>
    <col min="4" max="4" width="2.28515625" style="61" customWidth="1"/>
    <col min="5" max="5" width="18.7109375" style="23" customWidth="1"/>
    <col min="6" max="6" width="5" style="23" customWidth="1"/>
    <col min="7" max="7" width="18.7109375" style="23" customWidth="1"/>
    <col min="8" max="8" width="11" style="23" customWidth="1"/>
    <col min="9" max="9" width="17.42578125" style="17" customWidth="1"/>
    <col min="10" max="10" width="24.42578125" style="17" bestFit="1" customWidth="1"/>
    <col min="11" max="11" width="17.42578125" style="17" bestFit="1" customWidth="1"/>
    <col min="12" max="12" width="17.7109375" style="17" customWidth="1"/>
    <col min="13" max="13" width="10.85546875" style="17"/>
    <col min="14" max="14" width="15.85546875" style="17" bestFit="1" customWidth="1"/>
    <col min="15" max="16384" width="10.85546875" style="17"/>
  </cols>
  <sheetData>
    <row r="1" spans="1:9" ht="15" x14ac:dyDescent="0.25">
      <c r="A1" s="1069" t="s">
        <v>3402</v>
      </c>
      <c r="B1" s="1069"/>
      <c r="C1" s="1069"/>
      <c r="D1" s="1069"/>
      <c r="E1" s="1069"/>
      <c r="F1" s="1069"/>
      <c r="G1" s="1069"/>
    </row>
    <row r="2" spans="1:9" ht="15" x14ac:dyDescent="0.25">
      <c r="A2" s="1069" t="s">
        <v>3399</v>
      </c>
      <c r="B2" s="1069"/>
      <c r="C2" s="1069"/>
      <c r="D2" s="1069"/>
      <c r="E2" s="1069"/>
      <c r="F2" s="1069"/>
      <c r="G2" s="1069"/>
    </row>
    <row r="3" spans="1:9" ht="15" x14ac:dyDescent="0.25">
      <c r="A3" s="1069" t="s">
        <v>3400</v>
      </c>
      <c r="B3" s="1069"/>
      <c r="C3" s="1069"/>
      <c r="D3" s="1069"/>
      <c r="E3" s="1069"/>
      <c r="F3" s="1069"/>
      <c r="G3" s="1069"/>
    </row>
    <row r="4" spans="1:9" ht="15" x14ac:dyDescent="0.25">
      <c r="A4" s="11"/>
      <c r="B4" s="11"/>
      <c r="C4" s="493"/>
      <c r="D4" s="14"/>
      <c r="E4" s="494"/>
      <c r="F4" s="494"/>
      <c r="G4" s="494"/>
    </row>
    <row r="5" spans="1:9" ht="15" x14ac:dyDescent="0.25">
      <c r="A5" s="1069" t="s">
        <v>3404</v>
      </c>
      <c r="B5" s="1069"/>
      <c r="C5" s="1069"/>
      <c r="D5" s="1069"/>
      <c r="E5" s="1069"/>
      <c r="F5" s="1069"/>
      <c r="G5" s="1069"/>
    </row>
    <row r="6" spans="1:9" ht="15" x14ac:dyDescent="0.25">
      <c r="A6" s="1069" t="s">
        <v>3444</v>
      </c>
      <c r="B6" s="1069"/>
      <c r="C6" s="1069"/>
      <c r="D6" s="1069"/>
      <c r="E6" s="1069"/>
      <c r="F6" s="1069"/>
      <c r="G6" s="1069"/>
    </row>
    <row r="7" spans="1:9" ht="15" x14ac:dyDescent="0.25">
      <c r="A7" s="1069" t="s">
        <v>3534</v>
      </c>
      <c r="B7" s="1069"/>
      <c r="C7" s="1069"/>
      <c r="D7" s="1069"/>
      <c r="E7" s="1069"/>
      <c r="F7" s="1069"/>
      <c r="G7" s="1069"/>
    </row>
    <row r="10" spans="1:9" ht="13.5" thickBot="1" x14ac:dyDescent="0.25">
      <c r="C10" s="186"/>
      <c r="D10" s="187"/>
      <c r="E10" s="185">
        <v>2017</v>
      </c>
      <c r="F10" s="180"/>
      <c r="G10" s="185">
        <v>2016</v>
      </c>
      <c r="H10" s="181"/>
    </row>
    <row r="11" spans="1:9" x14ac:dyDescent="0.2">
      <c r="C11" s="186"/>
      <c r="D11" s="187"/>
      <c r="E11" s="188"/>
      <c r="F11" s="188"/>
      <c r="G11" s="188"/>
      <c r="H11" s="188"/>
    </row>
    <row r="12" spans="1:9" x14ac:dyDescent="0.2">
      <c r="A12" s="20" t="s">
        <v>608</v>
      </c>
      <c r="B12" s="20"/>
      <c r="C12" s="60"/>
      <c r="D12" s="169"/>
      <c r="E12" s="46"/>
      <c r="F12" s="46"/>
      <c r="G12" s="46"/>
      <c r="H12" s="46"/>
    </row>
    <row r="13" spans="1:9" s="189" customFormat="1" x14ac:dyDescent="0.2">
      <c r="C13" s="190"/>
      <c r="D13" s="187"/>
      <c r="E13" s="170"/>
      <c r="F13" s="170"/>
      <c r="G13" s="170"/>
      <c r="H13" s="170"/>
    </row>
    <row r="14" spans="1:9" ht="13.5" thickBot="1" x14ac:dyDescent="0.25">
      <c r="A14" s="20" t="s">
        <v>2687</v>
      </c>
      <c r="B14" s="21"/>
      <c r="C14" s="164"/>
      <c r="D14" s="165"/>
      <c r="E14" s="495">
        <f>86694776302.57+285797001.05-4342895.51</f>
        <v>86976230408.110016</v>
      </c>
      <c r="F14" s="184"/>
      <c r="G14" s="495">
        <v>71768673404.990005</v>
      </c>
      <c r="H14" s="184"/>
    </row>
    <row r="15" spans="1:9" ht="13.5" thickTop="1" x14ac:dyDescent="0.2">
      <c r="C15" s="191"/>
      <c r="D15" s="116"/>
      <c r="E15" s="46"/>
      <c r="F15" s="46"/>
      <c r="G15" s="46"/>
      <c r="H15" s="46"/>
      <c r="I15" s="192"/>
    </row>
    <row r="16" spans="1:9" x14ac:dyDescent="0.2">
      <c r="A16" s="20" t="s">
        <v>609</v>
      </c>
      <c r="B16" s="20"/>
      <c r="C16" s="191"/>
      <c r="D16" s="193"/>
      <c r="E16" s="46"/>
      <c r="F16" s="46"/>
      <c r="G16" s="46"/>
      <c r="H16" s="46"/>
      <c r="I16" s="192"/>
    </row>
    <row r="17" spans="1:14" x14ac:dyDescent="0.2">
      <c r="C17" s="191"/>
      <c r="D17" s="116"/>
      <c r="E17" s="46"/>
      <c r="F17" s="46"/>
      <c r="G17" s="46"/>
      <c r="H17" s="46"/>
      <c r="I17" s="192"/>
    </row>
    <row r="18" spans="1:14" x14ac:dyDescent="0.2">
      <c r="A18" s="20" t="s">
        <v>610</v>
      </c>
      <c r="B18" s="20"/>
      <c r="C18" s="191"/>
      <c r="D18" s="193"/>
      <c r="E18" s="46"/>
      <c r="F18" s="46"/>
      <c r="G18" s="46"/>
      <c r="H18" s="46"/>
      <c r="I18" s="192"/>
    </row>
    <row r="19" spans="1:14" x14ac:dyDescent="0.2">
      <c r="A19" s="17" t="s">
        <v>611</v>
      </c>
      <c r="C19" s="191"/>
      <c r="D19" s="116"/>
      <c r="E19" s="46">
        <f>+K24</f>
        <v>8827379219.2799988</v>
      </c>
      <c r="F19" s="46"/>
      <c r="G19" s="46">
        <v>7977783557.4900007</v>
      </c>
      <c r="H19" s="46"/>
      <c r="I19" s="194">
        <f>E19-K19</f>
        <v>0</v>
      </c>
      <c r="K19" s="192">
        <f>+K24</f>
        <v>8827379219.2799988</v>
      </c>
    </row>
    <row r="20" spans="1:14" x14ac:dyDescent="0.2">
      <c r="A20" s="17" t="s">
        <v>506</v>
      </c>
      <c r="C20" s="191"/>
      <c r="D20" s="116"/>
      <c r="E20" s="46">
        <f>1018048399.32+11630174.63</f>
        <v>1029678573.95</v>
      </c>
      <c r="F20" s="46"/>
      <c r="G20" s="46">
        <v>1095588241.2600002</v>
      </c>
      <c r="H20" s="46"/>
      <c r="I20" s="192"/>
      <c r="J20" s="111" t="s">
        <v>611</v>
      </c>
      <c r="K20" s="332">
        <v>2017</v>
      </c>
      <c r="L20" s="332">
        <v>2016</v>
      </c>
    </row>
    <row r="21" spans="1:14" x14ac:dyDescent="0.2">
      <c r="A21" s="17" t="s">
        <v>818</v>
      </c>
      <c r="C21" s="191"/>
      <c r="D21" s="116"/>
      <c r="E21" s="46">
        <v>-25709000</v>
      </c>
      <c r="F21" s="46"/>
      <c r="G21" s="46">
        <v>-4711000</v>
      </c>
      <c r="H21" s="46"/>
      <c r="I21" s="192"/>
      <c r="J21" s="4" t="s">
        <v>40</v>
      </c>
      <c r="K21" s="6">
        <v>7566030599.9499998</v>
      </c>
      <c r="L21" s="6">
        <v>6803652242.6700001</v>
      </c>
    </row>
    <row r="22" spans="1:14" x14ac:dyDescent="0.2">
      <c r="A22" s="17" t="s">
        <v>4150</v>
      </c>
      <c r="C22" s="191"/>
      <c r="D22" s="116"/>
      <c r="E22" s="46">
        <f>-G14</f>
        <v>-71768673404.990005</v>
      </c>
      <c r="F22" s="46"/>
      <c r="G22" s="46">
        <v>-58315284038.980003</v>
      </c>
      <c r="H22" s="46"/>
      <c r="I22" s="192"/>
      <c r="J22" s="4" t="s">
        <v>41</v>
      </c>
      <c r="K22" s="6">
        <v>217464527.28999999</v>
      </c>
      <c r="L22" s="6">
        <v>214073024.41999999</v>
      </c>
    </row>
    <row r="23" spans="1:14" x14ac:dyDescent="0.2">
      <c r="A23" s="17" t="s">
        <v>612</v>
      </c>
      <c r="C23" s="191"/>
      <c r="D23" s="116"/>
      <c r="E23" s="46">
        <f>+K36</f>
        <v>-1517998438.3399999</v>
      </c>
      <c r="F23" s="46"/>
      <c r="G23" s="46">
        <v>-845272697.33000004</v>
      </c>
      <c r="H23" s="46"/>
      <c r="I23" s="195">
        <f>+E23-K36</f>
        <v>0</v>
      </c>
      <c r="J23" s="4" t="s">
        <v>42</v>
      </c>
      <c r="K23" s="496">
        <v>1043884092.04</v>
      </c>
      <c r="L23" s="496">
        <v>960058290.40000057</v>
      </c>
    </row>
    <row r="24" spans="1:14" x14ac:dyDescent="0.2">
      <c r="A24" s="17" t="s">
        <v>2664</v>
      </c>
      <c r="C24" s="191"/>
      <c r="D24" s="116"/>
      <c r="E24" s="46">
        <v>8813592577.7800007</v>
      </c>
      <c r="F24" s="46"/>
      <c r="G24" s="46">
        <v>6794456948.9399872</v>
      </c>
      <c r="H24" s="46"/>
      <c r="I24" s="192"/>
      <c r="K24" s="15">
        <f>SUM(K21:K23)</f>
        <v>8827379219.2799988</v>
      </c>
      <c r="L24" s="15">
        <v>7977783557.4900007</v>
      </c>
    </row>
    <row r="25" spans="1:14" s="20" customFormat="1" ht="13.5" thickBot="1" x14ac:dyDescent="0.25">
      <c r="A25" s="20" t="s">
        <v>2670</v>
      </c>
      <c r="C25" s="164"/>
      <c r="D25" s="193"/>
      <c r="E25" s="202">
        <f>SUM(E19:E24)</f>
        <v>-54641730472.320007</v>
      </c>
      <c r="F25" s="184"/>
      <c r="G25" s="202">
        <v>-43297438988.620018</v>
      </c>
      <c r="H25" s="184"/>
      <c r="I25" s="196"/>
      <c r="L25" s="26"/>
    </row>
    <row r="26" spans="1:14" s="20" customFormat="1" ht="13.5" thickTop="1" x14ac:dyDescent="0.2">
      <c r="C26" s="164"/>
      <c r="D26" s="193"/>
      <c r="E26" s="184"/>
      <c r="F26" s="184"/>
      <c r="G26" s="184"/>
      <c r="H26" s="184"/>
      <c r="I26" s="196"/>
      <c r="L26" s="26"/>
    </row>
    <row r="27" spans="1:14" x14ac:dyDescent="0.2">
      <c r="A27" s="20" t="s">
        <v>1149</v>
      </c>
      <c r="B27" s="20"/>
      <c r="C27" s="191"/>
      <c r="D27" s="193"/>
      <c r="E27" s="168"/>
      <c r="F27" s="168"/>
      <c r="G27" s="168"/>
      <c r="H27" s="168"/>
      <c r="I27" s="192"/>
      <c r="K27" s="24"/>
    </row>
    <row r="28" spans="1:14" x14ac:dyDescent="0.2">
      <c r="A28" s="17" t="s">
        <v>1161</v>
      </c>
      <c r="C28" s="191"/>
      <c r="D28" s="116"/>
      <c r="E28" s="168">
        <v>-703171896.61000001</v>
      </c>
      <c r="F28" s="168"/>
      <c r="G28" s="168">
        <v>268099331.23999977</v>
      </c>
      <c r="H28" s="168"/>
      <c r="I28" s="192"/>
      <c r="J28" s="112" t="s">
        <v>2278</v>
      </c>
      <c r="K28" s="332">
        <v>2017</v>
      </c>
      <c r="L28" s="332">
        <v>2016</v>
      </c>
    </row>
    <row r="29" spans="1:14" x14ac:dyDescent="0.2">
      <c r="A29" s="17" t="s">
        <v>1162</v>
      </c>
      <c r="C29" s="191"/>
      <c r="D29" s="116"/>
      <c r="E29" s="168">
        <v>580151838.58000004</v>
      </c>
      <c r="F29" s="168"/>
      <c r="G29" s="168">
        <v>-196492146.37000006</v>
      </c>
      <c r="H29" s="168"/>
      <c r="I29" s="192"/>
      <c r="J29" s="4" t="s">
        <v>2681</v>
      </c>
      <c r="K29" s="46">
        <v>88940784.469999999</v>
      </c>
      <c r="L29" s="46">
        <v>7786006.7699999996</v>
      </c>
    </row>
    <row r="30" spans="1:14" x14ac:dyDescent="0.2">
      <c r="A30" s="17" t="s">
        <v>476</v>
      </c>
      <c r="C30" s="191"/>
      <c r="D30" s="116"/>
      <c r="E30" s="168">
        <v>4156858.04</v>
      </c>
      <c r="F30" s="168"/>
      <c r="G30" s="168">
        <v>-125913365.71000004</v>
      </c>
      <c r="H30" s="168"/>
      <c r="I30" s="192"/>
      <c r="J30" s="4" t="s">
        <v>2280</v>
      </c>
      <c r="K30" s="46">
        <v>-11630174.630000001</v>
      </c>
      <c r="L30" s="46">
        <f>(95537086.48-41892869.11)</f>
        <v>53644217.370000005</v>
      </c>
      <c r="N30" s="15"/>
    </row>
    <row r="31" spans="1:14" x14ac:dyDescent="0.2">
      <c r="A31" s="17" t="s">
        <v>1163</v>
      </c>
      <c r="C31" s="191"/>
      <c r="D31" s="116"/>
      <c r="E31" s="168">
        <v>677643330.16999996</v>
      </c>
      <c r="F31" s="168"/>
      <c r="G31" s="168">
        <v>741526123.77999878</v>
      </c>
      <c r="H31" s="168"/>
      <c r="I31" s="192"/>
      <c r="J31" s="4" t="s">
        <v>2281</v>
      </c>
      <c r="K31" s="46">
        <v>25709000</v>
      </c>
      <c r="L31" s="46">
        <v>4711000</v>
      </c>
      <c r="N31" s="15"/>
    </row>
    <row r="32" spans="1:14" x14ac:dyDescent="0.2">
      <c r="A32" s="17" t="s">
        <v>1592</v>
      </c>
      <c r="C32" s="191"/>
      <c r="D32" s="116"/>
      <c r="E32" s="46">
        <v>82487110.730000004</v>
      </c>
      <c r="F32" s="46"/>
      <c r="G32" s="46">
        <v>-151371634.35000038</v>
      </c>
      <c r="H32" s="46"/>
      <c r="I32" s="192"/>
      <c r="J32" s="4" t="s">
        <v>2282</v>
      </c>
      <c r="K32" s="46">
        <v>-1018048399.3200001</v>
      </c>
      <c r="L32" s="46">
        <f>(1405258781.69-2554491240.32)</f>
        <v>-1149232458.6300001</v>
      </c>
      <c r="N32" s="15"/>
    </row>
    <row r="33" spans="1:12" x14ac:dyDescent="0.2">
      <c r="A33" s="17" t="s">
        <v>265</v>
      </c>
      <c r="C33" s="191"/>
      <c r="D33" s="116"/>
      <c r="E33" s="46">
        <v>-695859.38</v>
      </c>
      <c r="F33" s="46"/>
      <c r="G33" s="46">
        <v>20711338.32</v>
      </c>
      <c r="H33" s="46"/>
      <c r="I33" s="192"/>
      <c r="J33" s="4" t="s">
        <v>2669</v>
      </c>
      <c r="K33" s="46">
        <v>-599843244.26999998</v>
      </c>
      <c r="L33" s="46">
        <f>(599843244.27-334208605.18)</f>
        <v>265634639.08999997</v>
      </c>
    </row>
    <row r="34" spans="1:12" x14ac:dyDescent="0.2">
      <c r="A34" s="17" t="s">
        <v>940</v>
      </c>
      <c r="C34" s="191"/>
      <c r="D34" s="116"/>
      <c r="E34" s="46">
        <v>-88940784.469999999</v>
      </c>
      <c r="F34" s="46"/>
      <c r="G34" s="46">
        <v>-7786006.7699999809</v>
      </c>
      <c r="H34" s="46"/>
      <c r="I34" s="197"/>
      <c r="J34" s="4" t="s">
        <v>2682</v>
      </c>
      <c r="K34" s="46">
        <v>-9713894.5899999999</v>
      </c>
      <c r="L34" s="46">
        <v>-34395611.93</v>
      </c>
    </row>
    <row r="35" spans="1:12" x14ac:dyDescent="0.2">
      <c r="A35" s="17" t="s">
        <v>941</v>
      </c>
      <c r="C35" s="191"/>
      <c r="D35" s="116"/>
      <c r="E35" s="46">
        <f>1447551.19+966694270.95</f>
        <v>968141822.1400001</v>
      </c>
      <c r="F35" s="46"/>
      <c r="G35" s="46">
        <v>-807138688.71000004</v>
      </c>
      <c r="H35" s="46"/>
      <c r="I35" s="197"/>
      <c r="J35" s="4" t="s">
        <v>2283</v>
      </c>
      <c r="K35" s="497">
        <v>6587490</v>
      </c>
      <c r="L35" s="497">
        <f>(106744350-100164840)</f>
        <v>6579510</v>
      </c>
    </row>
    <row r="36" spans="1:12" x14ac:dyDescent="0.2">
      <c r="A36" s="17" t="s">
        <v>2683</v>
      </c>
      <c r="C36" s="191"/>
      <c r="D36" s="116"/>
      <c r="E36" s="46">
        <v>302925255.00999999</v>
      </c>
      <c r="F36" s="46"/>
      <c r="G36" s="46">
        <v>556457369.94000053</v>
      </c>
      <c r="H36" s="46"/>
      <c r="I36" s="197"/>
      <c r="J36" s="113" t="s">
        <v>2279</v>
      </c>
      <c r="K36" s="498">
        <f>SUM(K29:K35)</f>
        <v>-1517998438.3399999</v>
      </c>
      <c r="L36" s="498">
        <f>SUM(L29:L35)</f>
        <v>-845272697.33000004</v>
      </c>
    </row>
    <row r="37" spans="1:12" ht="13.5" thickBot="1" x14ac:dyDescent="0.25">
      <c r="A37" s="20" t="s">
        <v>2671</v>
      </c>
      <c r="B37" s="20"/>
      <c r="C37" s="164"/>
      <c r="D37" s="193"/>
      <c r="E37" s="202">
        <f>SUM(E28:E36)</f>
        <v>1822697674.21</v>
      </c>
      <c r="F37" s="184"/>
      <c r="G37" s="202">
        <v>298092321.36999857</v>
      </c>
      <c r="H37" s="184"/>
      <c r="I37" s="197"/>
    </row>
    <row r="38" spans="1:12" s="20" customFormat="1" ht="13.5" thickTop="1" x14ac:dyDescent="0.2">
      <c r="E38" s="499"/>
    </row>
    <row r="39" spans="1:12" ht="13.5" thickBot="1" x14ac:dyDescent="0.25">
      <c r="A39" s="20" t="s">
        <v>942</v>
      </c>
      <c r="B39" s="20"/>
      <c r="C39" s="186"/>
      <c r="D39" s="193"/>
      <c r="E39" s="202">
        <f>+E14+E25+E37</f>
        <v>34157197610.000008</v>
      </c>
      <c r="F39" s="184"/>
      <c r="G39" s="202">
        <v>28769326737.739986</v>
      </c>
      <c r="H39" s="184"/>
      <c r="I39" s="198"/>
    </row>
    <row r="40" spans="1:12" ht="13.5" thickTop="1" x14ac:dyDescent="0.2">
      <c r="D40" s="116"/>
      <c r="E40" s="46"/>
      <c r="F40" s="46"/>
      <c r="G40" s="46"/>
      <c r="H40" s="46"/>
      <c r="I40" s="197"/>
    </row>
    <row r="41" spans="1:12" x14ac:dyDescent="0.2">
      <c r="A41" s="20" t="s">
        <v>2665</v>
      </c>
      <c r="B41" s="20"/>
      <c r="C41" s="60"/>
      <c r="D41" s="193"/>
      <c r="E41" s="46"/>
      <c r="F41" s="46"/>
      <c r="G41" s="46"/>
      <c r="H41" s="46"/>
      <c r="I41" s="197"/>
      <c r="J41" s="114" t="s">
        <v>2284</v>
      </c>
      <c r="K41" s="332">
        <v>2017</v>
      </c>
      <c r="L41" s="332">
        <v>2016</v>
      </c>
    </row>
    <row r="42" spans="1:12" x14ac:dyDescent="0.2">
      <c r="A42" s="20"/>
      <c r="B42" s="20"/>
      <c r="C42" s="60"/>
      <c r="D42" s="193"/>
      <c r="E42" s="46"/>
      <c r="F42" s="46"/>
      <c r="G42" s="46"/>
      <c r="H42" s="46"/>
      <c r="I42" s="200"/>
      <c r="J42" s="4" t="s">
        <v>2285</v>
      </c>
      <c r="K42" s="46">
        <v>10905535970.790001</v>
      </c>
      <c r="L42" s="46">
        <f>(93861709059.11-83320559611.41)</f>
        <v>10541149447.699997</v>
      </c>
    </row>
    <row r="43" spans="1:12" x14ac:dyDescent="0.2">
      <c r="A43" s="17" t="s">
        <v>943</v>
      </c>
      <c r="C43" s="191"/>
      <c r="D43" s="116"/>
      <c r="E43" s="46">
        <f>+K47</f>
        <v>20898377672.5</v>
      </c>
      <c r="F43" s="46"/>
      <c r="G43" s="46">
        <v>14512292180.749992</v>
      </c>
      <c r="H43" s="46"/>
      <c r="I43" s="192"/>
      <c r="J43" s="4" t="s">
        <v>2286</v>
      </c>
      <c r="K43" s="46">
        <v>116225741.05</v>
      </c>
      <c r="L43" s="46">
        <f>(2989633905.08-2979314207.96)</f>
        <v>10319697.119999886</v>
      </c>
    </row>
    <row r="44" spans="1:12" x14ac:dyDescent="0.2">
      <c r="A44" s="17" t="s">
        <v>944</v>
      </c>
      <c r="C44" s="60"/>
      <c r="D44" s="116"/>
      <c r="E44" s="46">
        <v>6587490</v>
      </c>
      <c r="F44" s="46"/>
      <c r="G44" s="46">
        <v>6579510</v>
      </c>
      <c r="H44" s="46"/>
      <c r="I44" s="201"/>
      <c r="J44" s="4" t="s">
        <v>2287</v>
      </c>
      <c r="K44" s="46">
        <v>5506715579.0600004</v>
      </c>
      <c r="L44" s="46">
        <f>(48569957106.88-47069742958.93)</f>
        <v>1500214147.9499969</v>
      </c>
    </row>
    <row r="45" spans="1:12" s="20" customFormat="1" x14ac:dyDescent="0.2">
      <c r="A45" s="17" t="s">
        <v>945</v>
      </c>
      <c r="B45" s="17"/>
      <c r="C45" s="60"/>
      <c r="D45" s="116"/>
      <c r="E45" s="46">
        <f>+K54</f>
        <v>-48289369.219999969</v>
      </c>
      <c r="F45" s="46"/>
      <c r="G45" s="46">
        <v>-65111232.080000013</v>
      </c>
      <c r="H45" s="184"/>
      <c r="J45" s="4" t="s">
        <v>2288</v>
      </c>
      <c r="K45" s="46">
        <v>0</v>
      </c>
      <c r="L45" s="46">
        <f>(8663706166.51-8341439069.71)</f>
        <v>322267096.80000019</v>
      </c>
    </row>
    <row r="46" spans="1:12" s="20" customFormat="1" ht="13.5" thickBot="1" x14ac:dyDescent="0.25">
      <c r="A46" s="20" t="s">
        <v>3381</v>
      </c>
      <c r="C46" s="186"/>
      <c r="D46" s="193"/>
      <c r="E46" s="202">
        <f>SUM(E43:E45)</f>
        <v>20856675793.279999</v>
      </c>
      <c r="F46" s="184"/>
      <c r="G46" s="202">
        <v>14453760458.669992</v>
      </c>
      <c r="H46" s="184"/>
      <c r="J46" s="4" t="s">
        <v>2289</v>
      </c>
      <c r="K46" s="497">
        <v>4369900381.6000004</v>
      </c>
      <c r="L46" s="497">
        <f>(4071950568.95-1933608777.77)</f>
        <v>2138341791.1799998</v>
      </c>
    </row>
    <row r="47" spans="1:12" s="20" customFormat="1" ht="13.5" thickTop="1" x14ac:dyDescent="0.2">
      <c r="C47" s="186"/>
      <c r="D47" s="193"/>
      <c r="E47" s="184"/>
      <c r="F47" s="184"/>
      <c r="G47" s="184"/>
      <c r="H47" s="184"/>
      <c r="K47" s="26">
        <f>SUM(K42:K46)</f>
        <v>20898377672.5</v>
      </c>
      <c r="L47" s="26">
        <f>SUM(L42:L46)</f>
        <v>14512292180.749992</v>
      </c>
    </row>
    <row r="48" spans="1:12" s="20" customFormat="1" x14ac:dyDescent="0.2">
      <c r="A48" s="20" t="s">
        <v>1764</v>
      </c>
      <c r="C48" s="186"/>
      <c r="D48" s="193"/>
      <c r="E48" s="184"/>
      <c r="F48" s="184"/>
      <c r="G48" s="184"/>
      <c r="H48" s="46"/>
    </row>
    <row r="49" spans="1:12" s="20" customFormat="1" x14ac:dyDescent="0.2">
      <c r="C49" s="186"/>
      <c r="D49" s="193"/>
      <c r="E49" s="184"/>
      <c r="F49" s="184"/>
      <c r="G49" s="184"/>
      <c r="H49" s="184"/>
      <c r="J49" s="115" t="s">
        <v>945</v>
      </c>
      <c r="K49" s="332">
        <v>2017</v>
      </c>
      <c r="L49" s="332">
        <v>2016</v>
      </c>
    </row>
    <row r="50" spans="1:12" s="20" customFormat="1" x14ac:dyDescent="0.2">
      <c r="A50" s="17" t="s">
        <v>4171</v>
      </c>
      <c r="B50" s="17"/>
      <c r="C50" s="60"/>
      <c r="D50" s="116"/>
      <c r="E50" s="46">
        <f>2948100114.7+211844886.54</f>
        <v>3159945001.2399998</v>
      </c>
      <c r="F50" s="46"/>
      <c r="G50" s="46">
        <v>-328503277.65999985</v>
      </c>
      <c r="H50" s="184"/>
      <c r="J50" s="17" t="s">
        <v>2290</v>
      </c>
      <c r="K50" s="46">
        <v>6001590</v>
      </c>
      <c r="L50" s="46">
        <f>(70668886.05-66871703.15)</f>
        <v>3797182.8999999985</v>
      </c>
    </row>
    <row r="51" spans="1:12" ht="13.5" thickBot="1" x14ac:dyDescent="0.25">
      <c r="A51" s="20" t="s">
        <v>3382</v>
      </c>
      <c r="B51" s="20"/>
      <c r="C51" s="186"/>
      <c r="D51" s="193"/>
      <c r="E51" s="202">
        <f>+E50</f>
        <v>3159945001.2399998</v>
      </c>
      <c r="F51" s="184"/>
      <c r="G51" s="202">
        <v>-328503277.65999985</v>
      </c>
      <c r="H51" s="46"/>
      <c r="J51" s="61" t="s">
        <v>2291</v>
      </c>
      <c r="K51" s="46">
        <v>207623758.24000001</v>
      </c>
      <c r="L51" s="46">
        <f>(2609332834.27-2415867057.37)</f>
        <v>193465776.9000001</v>
      </c>
    </row>
    <row r="52" spans="1:12" s="20" customFormat="1" ht="13.5" thickTop="1" x14ac:dyDescent="0.2">
      <c r="C52" s="186"/>
      <c r="D52" s="193"/>
      <c r="E52" s="184"/>
      <c r="F52" s="184"/>
      <c r="G52" s="184"/>
      <c r="H52" s="184"/>
      <c r="I52" s="203"/>
      <c r="J52" s="61" t="s">
        <v>2292</v>
      </c>
      <c r="K52" s="46">
        <v>-305084632.45999998</v>
      </c>
      <c r="L52" s="46">
        <f>(2077010725.52-2339031454.4)</f>
        <v>-262020728.88000011</v>
      </c>
    </row>
    <row r="53" spans="1:12" x14ac:dyDescent="0.2">
      <c r="C53" s="60"/>
      <c r="D53" s="116"/>
      <c r="E53" s="46"/>
      <c r="F53" s="46"/>
      <c r="G53" s="46"/>
      <c r="H53" s="46"/>
      <c r="J53" s="17" t="s">
        <v>2684</v>
      </c>
      <c r="K53" s="497">
        <v>43169915</v>
      </c>
      <c r="L53" s="497">
        <v>-353463</v>
      </c>
    </row>
    <row r="54" spans="1:12" s="20" customFormat="1" x14ac:dyDescent="0.2">
      <c r="A54" s="20" t="s">
        <v>346</v>
      </c>
      <c r="C54" s="186"/>
      <c r="D54" s="193"/>
      <c r="E54" s="184">
        <f>+E39-E46+E51</f>
        <v>16460466817.960009</v>
      </c>
      <c r="F54" s="184"/>
      <c r="G54" s="184">
        <v>13987063001.409994</v>
      </c>
      <c r="H54" s="184"/>
      <c r="J54" s="17"/>
      <c r="K54" s="26">
        <f>+K50+K51+K52+K53</f>
        <v>-48289369.219999969</v>
      </c>
      <c r="L54" s="26">
        <f>SUM(L50:L53)</f>
        <v>-65111232.080000013</v>
      </c>
    </row>
    <row r="55" spans="1:12" x14ac:dyDescent="0.2">
      <c r="C55" s="60"/>
      <c r="D55" s="116"/>
      <c r="E55" s="46"/>
      <c r="F55" s="46"/>
      <c r="G55" s="46"/>
      <c r="H55" s="46"/>
      <c r="I55" s="204"/>
      <c r="J55" s="26"/>
      <c r="K55" s="20"/>
      <c r="L55" s="20"/>
    </row>
    <row r="56" spans="1:12" s="20" customFormat="1" x14ac:dyDescent="0.2">
      <c r="A56" s="20" t="s">
        <v>2685</v>
      </c>
      <c r="C56" s="186"/>
      <c r="D56" s="193"/>
      <c r="E56" s="184">
        <f>+L61</f>
        <v>80542881040.669998</v>
      </c>
      <c r="F56" s="184"/>
      <c r="G56" s="184">
        <v>66555818039.259995</v>
      </c>
      <c r="H56" s="184"/>
      <c r="I56" s="205"/>
      <c r="J56" s="117" t="s">
        <v>2293</v>
      </c>
      <c r="K56" s="332">
        <v>2017</v>
      </c>
      <c r="L56" s="332">
        <v>2016</v>
      </c>
    </row>
    <row r="57" spans="1:12" s="61" customFormat="1" x14ac:dyDescent="0.2">
      <c r="A57" s="17"/>
      <c r="B57" s="17"/>
      <c r="C57" s="60"/>
      <c r="D57" s="116"/>
      <c r="E57" s="46"/>
      <c r="F57" s="46"/>
      <c r="G57" s="46"/>
      <c r="H57" s="106"/>
      <c r="J57" s="17" t="s">
        <v>39</v>
      </c>
      <c r="K57" s="106">
        <v>1328175726.24</v>
      </c>
      <c r="L57" s="106">
        <v>1228468850.02</v>
      </c>
    </row>
    <row r="58" spans="1:12" s="61" customFormat="1" ht="13.5" thickBot="1" x14ac:dyDescent="0.25">
      <c r="A58" s="20" t="s">
        <v>2686</v>
      </c>
      <c r="B58" s="20"/>
      <c r="C58" s="186"/>
      <c r="D58" s="193"/>
      <c r="E58" s="202">
        <f>+E54+E56</f>
        <v>97003347858.630005</v>
      </c>
      <c r="F58" s="184"/>
      <c r="G58" s="202">
        <v>80542881040.669983</v>
      </c>
      <c r="H58" s="106"/>
      <c r="I58" s="206"/>
      <c r="J58" s="17" t="s">
        <v>2294</v>
      </c>
      <c r="K58" s="106">
        <v>2970592718.5599999</v>
      </c>
      <c r="L58" s="106">
        <v>4313836549.2799997</v>
      </c>
    </row>
    <row r="59" spans="1:12" s="61" customFormat="1" ht="13.5" thickTop="1" x14ac:dyDescent="0.2">
      <c r="A59" s="169"/>
      <c r="B59" s="169"/>
      <c r="C59" s="60"/>
      <c r="D59" s="169"/>
      <c r="E59" s="46"/>
      <c r="F59" s="106"/>
      <c r="G59" s="106"/>
      <c r="I59" s="206"/>
      <c r="J59" s="107" t="s">
        <v>3442</v>
      </c>
      <c r="K59" s="106">
        <v>87163639111.580002</v>
      </c>
      <c r="L59" s="106">
        <v>75000575641.369995</v>
      </c>
    </row>
    <row r="60" spans="1:12" s="61" customFormat="1" x14ac:dyDescent="0.2">
      <c r="C60" s="60"/>
      <c r="E60" s="46"/>
      <c r="F60" s="106"/>
      <c r="G60" s="106"/>
      <c r="I60" s="206"/>
      <c r="J60" s="107" t="s">
        <v>3443</v>
      </c>
      <c r="K60" s="500">
        <v>5540940302.25</v>
      </c>
      <c r="L60" s="500">
        <v>0</v>
      </c>
    </row>
    <row r="61" spans="1:12" s="61" customFormat="1" x14ac:dyDescent="0.2">
      <c r="C61" s="60"/>
      <c r="E61" s="116"/>
      <c r="I61" s="206"/>
      <c r="K61" s="118">
        <f>+K57+K58+K59+K60</f>
        <v>97003347858.630005</v>
      </c>
      <c r="L61" s="118">
        <f>+L57+L58+L59+L60</f>
        <v>80542881040.669998</v>
      </c>
    </row>
    <row r="62" spans="1:12" s="61" customFormat="1" x14ac:dyDescent="0.2">
      <c r="C62" s="60"/>
      <c r="I62" s="206"/>
    </row>
    <row r="63" spans="1:12" s="61" customFormat="1" x14ac:dyDescent="0.2">
      <c r="C63" s="60"/>
      <c r="H63" s="106"/>
      <c r="I63" s="23"/>
      <c r="K63" s="23">
        <f>+K61-E58</f>
        <v>0</v>
      </c>
      <c r="L63" s="23"/>
    </row>
    <row r="64" spans="1:12" s="61" customFormat="1" x14ac:dyDescent="0.2">
      <c r="C64" s="60"/>
      <c r="H64" s="106"/>
      <c r="I64" s="23"/>
      <c r="K64" s="325"/>
    </row>
    <row r="65" spans="1:10" x14ac:dyDescent="0.2">
      <c r="A65" s="169"/>
      <c r="B65" s="169"/>
      <c r="C65" s="60"/>
      <c r="D65" s="169"/>
      <c r="E65" s="106"/>
      <c r="F65" s="106"/>
      <c r="G65" s="106"/>
      <c r="H65" s="106"/>
      <c r="I65" s="192"/>
      <c r="J65" s="61"/>
    </row>
    <row r="66" spans="1:10" x14ac:dyDescent="0.2">
      <c r="A66" s="61"/>
      <c r="B66" s="61"/>
      <c r="C66" s="60"/>
      <c r="E66" s="106"/>
      <c r="F66" s="106"/>
      <c r="G66" s="106"/>
      <c r="H66" s="106"/>
    </row>
    <row r="67" spans="1:10" x14ac:dyDescent="0.2">
      <c r="A67" s="20"/>
      <c r="B67" s="20"/>
      <c r="C67" s="60"/>
      <c r="D67" s="169"/>
      <c r="E67" s="106"/>
      <c r="F67" s="106"/>
      <c r="G67" s="106"/>
      <c r="H67" s="106"/>
    </row>
    <row r="68" spans="1:10" x14ac:dyDescent="0.2">
      <c r="C68" s="60"/>
      <c r="E68" s="106"/>
      <c r="F68" s="106"/>
      <c r="G68" s="106"/>
      <c r="H68" s="106"/>
    </row>
    <row r="69" spans="1:10" x14ac:dyDescent="0.2">
      <c r="C69" s="60"/>
      <c r="E69" s="106"/>
      <c r="F69" s="106"/>
      <c r="G69" s="106"/>
      <c r="H69" s="106"/>
    </row>
    <row r="70" spans="1:10" x14ac:dyDescent="0.2">
      <c r="C70" s="60"/>
      <c r="E70" s="106"/>
      <c r="F70" s="106"/>
      <c r="G70" s="106"/>
      <c r="H70" s="106"/>
    </row>
    <row r="71" spans="1:10" x14ac:dyDescent="0.2">
      <c r="E71" s="106"/>
      <c r="F71" s="106"/>
      <c r="G71" s="106"/>
      <c r="H71" s="106"/>
    </row>
    <row r="72" spans="1:10" x14ac:dyDescent="0.2">
      <c r="C72" s="60"/>
      <c r="E72" s="106"/>
      <c r="F72" s="106"/>
      <c r="G72" s="106"/>
      <c r="H72" s="106"/>
    </row>
    <row r="73" spans="1:10" x14ac:dyDescent="0.2">
      <c r="E73" s="106"/>
      <c r="F73" s="106"/>
      <c r="G73" s="106"/>
      <c r="H73" s="106"/>
    </row>
    <row r="74" spans="1:10" x14ac:dyDescent="0.2">
      <c r="E74" s="106"/>
      <c r="F74" s="106"/>
      <c r="G74" s="106"/>
      <c r="H74" s="106"/>
    </row>
    <row r="75" spans="1:10" x14ac:dyDescent="0.2">
      <c r="E75" s="106"/>
      <c r="F75" s="106"/>
      <c r="G75" s="106"/>
      <c r="H75" s="106"/>
    </row>
    <row r="76" spans="1:10" x14ac:dyDescent="0.2">
      <c r="E76" s="106"/>
      <c r="F76" s="106"/>
      <c r="G76" s="106"/>
      <c r="H76" s="106"/>
    </row>
    <row r="77" spans="1:10" s="116" customFormat="1" x14ac:dyDescent="0.2">
      <c r="A77" s="17"/>
      <c r="B77" s="17"/>
      <c r="C77" s="60"/>
      <c r="D77" s="61"/>
      <c r="E77" s="106"/>
      <c r="F77" s="106"/>
      <c r="G77" s="106"/>
      <c r="H77" s="46"/>
      <c r="J77" s="17"/>
    </row>
    <row r="78" spans="1:10" s="116" customFormat="1" x14ac:dyDescent="0.2">
      <c r="A78" s="17"/>
      <c r="B78" s="17"/>
      <c r="C78" s="60"/>
      <c r="D78" s="61"/>
      <c r="E78" s="106"/>
      <c r="F78" s="106"/>
      <c r="G78" s="106"/>
      <c r="H78" s="46"/>
    </row>
    <row r="79" spans="1:10" s="116" customFormat="1" x14ac:dyDescent="0.2">
      <c r="C79" s="191"/>
      <c r="E79" s="46"/>
      <c r="F79" s="46"/>
      <c r="G79" s="46"/>
      <c r="H79" s="46"/>
    </row>
    <row r="80" spans="1:10" s="116" customFormat="1" x14ac:dyDescent="0.2">
      <c r="C80" s="191"/>
      <c r="E80" s="46"/>
      <c r="F80" s="46"/>
      <c r="G80" s="46"/>
      <c r="H80" s="46"/>
    </row>
    <row r="81" spans="1:10" s="116" customFormat="1" x14ac:dyDescent="0.2">
      <c r="C81" s="191"/>
      <c r="E81" s="46"/>
      <c r="F81" s="46"/>
      <c r="G81" s="46"/>
      <c r="H81" s="8"/>
    </row>
    <row r="82" spans="1:10" s="116" customFormat="1" x14ac:dyDescent="0.2">
      <c r="C82" s="191"/>
      <c r="E82" s="46"/>
      <c r="F82" s="46"/>
      <c r="G82" s="46"/>
      <c r="H82" s="46"/>
    </row>
    <row r="83" spans="1:10" s="116" customFormat="1" x14ac:dyDescent="0.2">
      <c r="C83" s="191"/>
      <c r="E83" s="8"/>
      <c r="F83" s="8"/>
      <c r="G83" s="8"/>
      <c r="H83" s="46"/>
    </row>
    <row r="84" spans="1:10" s="116" customFormat="1" x14ac:dyDescent="0.2">
      <c r="A84" s="193"/>
      <c r="B84" s="193"/>
      <c r="C84" s="191"/>
      <c r="D84" s="193"/>
      <c r="E84" s="46"/>
      <c r="F84" s="46"/>
      <c r="G84" s="46"/>
      <c r="H84" s="46"/>
    </row>
    <row r="85" spans="1:10" x14ac:dyDescent="0.2">
      <c r="A85" s="116"/>
      <c r="B85" s="116"/>
      <c r="C85" s="191"/>
      <c r="D85" s="116"/>
      <c r="E85" s="46"/>
      <c r="F85" s="46"/>
      <c r="G85" s="46"/>
      <c r="J85" s="116"/>
    </row>
    <row r="86" spans="1:10" x14ac:dyDescent="0.2">
      <c r="A86" s="193"/>
      <c r="B86" s="193"/>
      <c r="C86" s="191"/>
      <c r="D86" s="193"/>
      <c r="E86" s="46"/>
      <c r="F86" s="46"/>
      <c r="G86" s="46"/>
    </row>
    <row r="87" spans="1:10" x14ac:dyDescent="0.2">
      <c r="A87" s="20"/>
      <c r="B87" s="20"/>
      <c r="D87" s="169"/>
    </row>
  </sheetData>
  <mergeCells count="6">
    <mergeCell ref="A7:G7"/>
    <mergeCell ref="A1:G1"/>
    <mergeCell ref="A2:G2"/>
    <mergeCell ref="A3:G3"/>
    <mergeCell ref="A5:G5"/>
    <mergeCell ref="A6:G6"/>
  </mergeCells>
  <phoneticPr fontId="0" type="noConversion"/>
  <pageMargins left="0.9055118110236221" right="0.78740157480314965" top="1.0629921259842521" bottom="0.94488188976377963" header="0.6692913385826772" footer="0.78740157480314965"/>
  <pageSetup paperSize="9" scale="78" firstPageNumber="14" orientation="portrait" r:id="rId1"/>
  <headerFooter alignWithMargins="0">
    <oddHeader xml:space="preserve">&amp;R&amp;"Arial,Negrita"
</oddHeader>
    <oddFooter>&amp;C&amp;P</oddFooter>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P55"/>
  <sheetViews>
    <sheetView topLeftCell="B1" zoomScaleNormal="100" zoomScalePageLayoutView="75" workbookViewId="0">
      <selection activeCell="M43" sqref="M43"/>
    </sheetView>
  </sheetViews>
  <sheetFormatPr baseColWidth="10" defaultColWidth="11.42578125" defaultRowHeight="12" x14ac:dyDescent="0.2"/>
  <cols>
    <col min="1" max="1" width="3.5703125" style="275" customWidth="1"/>
    <col min="2" max="2" width="9.7109375" style="275" bestFit="1" customWidth="1"/>
    <col min="3" max="3" width="15.42578125" style="275" customWidth="1"/>
    <col min="4" max="4" width="8.28515625" style="275" bestFit="1" customWidth="1"/>
    <col min="5" max="5" width="50" style="276" bestFit="1" customWidth="1"/>
    <col min="6" max="6" width="9" style="275" bestFit="1" customWidth="1"/>
    <col min="7" max="7" width="21.85546875" style="275" customWidth="1"/>
    <col min="8" max="8" width="24.7109375" style="275" bestFit="1" customWidth="1"/>
    <col min="9" max="9" width="11.28515625" style="275" customWidth="1"/>
    <col min="10" max="10" width="17.140625" style="275" bestFit="1" customWidth="1"/>
    <col min="11" max="11" width="16.140625" style="275" bestFit="1" customWidth="1"/>
    <col min="12" max="12" width="18.85546875" style="275" bestFit="1" customWidth="1"/>
    <col min="13" max="13" width="17.140625" style="275" bestFit="1" customWidth="1"/>
    <col min="14" max="14" width="14.28515625" style="277" bestFit="1" customWidth="1"/>
    <col min="15" max="15" width="27.140625" style="275" customWidth="1"/>
    <col min="16" max="16" width="7.28515625" style="275" bestFit="1" customWidth="1"/>
    <col min="17" max="16384" width="11.42578125" style="275"/>
  </cols>
  <sheetData>
    <row r="1" spans="1:16" x14ac:dyDescent="0.2">
      <c r="A1" s="1116" t="s">
        <v>3906</v>
      </c>
      <c r="B1" s="1116"/>
      <c r="C1" s="1116"/>
      <c r="D1" s="1116"/>
      <c r="E1" s="1116"/>
      <c r="F1" s="1116"/>
      <c r="G1" s="1116"/>
      <c r="H1" s="1116"/>
      <c r="I1" s="1116"/>
      <c r="J1" s="1116"/>
      <c r="K1" s="1116"/>
      <c r="L1" s="1116"/>
      <c r="M1" s="1116"/>
      <c r="N1" s="1116"/>
      <c r="O1" s="1116"/>
    </row>
    <row r="2" spans="1:16" x14ac:dyDescent="0.2">
      <c r="A2" s="1116"/>
      <c r="B2" s="1116"/>
      <c r="C2" s="1116"/>
      <c r="D2" s="1116"/>
      <c r="E2" s="1116"/>
      <c r="F2" s="1116"/>
      <c r="G2" s="1116"/>
      <c r="H2" s="1116"/>
      <c r="I2" s="1116"/>
      <c r="J2" s="1116"/>
      <c r="K2" s="1116"/>
      <c r="L2" s="1116"/>
      <c r="M2" s="1116"/>
      <c r="N2" s="1116"/>
      <c r="O2" s="1116"/>
    </row>
    <row r="3" spans="1:16" x14ac:dyDescent="0.2">
      <c r="A3" s="1116"/>
      <c r="B3" s="1116"/>
      <c r="C3" s="1116"/>
      <c r="D3" s="1116"/>
      <c r="E3" s="1116"/>
      <c r="F3" s="1116"/>
      <c r="G3" s="1116"/>
      <c r="H3" s="1116"/>
      <c r="I3" s="1116"/>
      <c r="J3" s="1116"/>
      <c r="K3" s="1116"/>
      <c r="L3" s="1116"/>
      <c r="M3" s="1116"/>
      <c r="N3" s="1116"/>
      <c r="O3" s="1116"/>
    </row>
    <row r="4" spans="1:16" x14ac:dyDescent="0.2">
      <c r="O4" s="291"/>
      <c r="P4" s="291"/>
    </row>
    <row r="5" spans="1:16" x14ac:dyDescent="0.2">
      <c r="A5" s="278" t="s">
        <v>3907</v>
      </c>
      <c r="B5" s="278"/>
      <c r="C5" s="278"/>
      <c r="D5" s="278"/>
      <c r="E5" s="278"/>
      <c r="F5" s="906"/>
      <c r="G5" s="906"/>
      <c r="H5" s="906"/>
      <c r="O5" s="291"/>
      <c r="P5" s="291"/>
    </row>
    <row r="6" spans="1:16" x14ac:dyDescent="0.2">
      <c r="A6" s="907"/>
      <c r="B6" s="907"/>
      <c r="C6" s="907"/>
      <c r="D6" s="907"/>
      <c r="E6" s="908"/>
      <c r="F6" s="909"/>
      <c r="G6" s="909"/>
      <c r="H6" s="909"/>
      <c r="I6" s="909"/>
      <c r="J6" s="909"/>
      <c r="K6" s="873"/>
      <c r="L6" s="873"/>
      <c r="M6" s="873"/>
      <c r="N6" s="876"/>
      <c r="O6" s="873"/>
      <c r="P6" s="291"/>
    </row>
    <row r="7" spans="1:16" ht="48" x14ac:dyDescent="0.2">
      <c r="A7" s="849" t="s">
        <v>2178</v>
      </c>
      <c r="B7" s="849" t="s">
        <v>3908</v>
      </c>
      <c r="C7" s="849" t="s">
        <v>3909</v>
      </c>
      <c r="D7" s="849" t="s">
        <v>2867</v>
      </c>
      <c r="E7" s="849" t="s">
        <v>2184</v>
      </c>
      <c r="F7" s="849" t="s">
        <v>2185</v>
      </c>
      <c r="G7" s="849" t="s">
        <v>2186</v>
      </c>
      <c r="H7" s="849" t="s">
        <v>2187</v>
      </c>
      <c r="I7" s="849" t="s">
        <v>2206</v>
      </c>
      <c r="J7" s="849" t="s">
        <v>2618</v>
      </c>
      <c r="K7" s="849" t="s">
        <v>2207</v>
      </c>
      <c r="L7" s="849" t="s">
        <v>2619</v>
      </c>
      <c r="M7" s="849" t="s">
        <v>2208</v>
      </c>
      <c r="N7" s="849" t="s">
        <v>2620</v>
      </c>
      <c r="O7" s="849" t="s">
        <v>2192</v>
      </c>
      <c r="P7" s="291"/>
    </row>
    <row r="8" spans="1:16" s="855" customFormat="1" ht="24" x14ac:dyDescent="0.2">
      <c r="A8" s="850">
        <v>1</v>
      </c>
      <c r="B8" s="878">
        <v>900</v>
      </c>
      <c r="C8" s="851"/>
      <c r="D8" s="878">
        <v>2016</v>
      </c>
      <c r="E8" s="851" t="s">
        <v>3910</v>
      </c>
      <c r="F8" s="850" t="s">
        <v>2566</v>
      </c>
      <c r="G8" s="852" t="s">
        <v>2586</v>
      </c>
      <c r="H8" s="903" t="s">
        <v>3911</v>
      </c>
      <c r="I8" s="880">
        <v>0</v>
      </c>
      <c r="J8" s="881">
        <v>11900000</v>
      </c>
      <c r="K8" s="910">
        <v>0</v>
      </c>
      <c r="L8" s="911">
        <f t="shared" ref="L8:L20" si="0">+J8-K8</f>
        <v>11900000</v>
      </c>
      <c r="M8" s="881">
        <f>+I8+L8</f>
        <v>11900000</v>
      </c>
      <c r="N8" s="912">
        <v>0</v>
      </c>
      <c r="O8" s="882"/>
    </row>
    <row r="9" spans="1:16" s="855" customFormat="1" ht="36" x14ac:dyDescent="0.2">
      <c r="A9" s="850">
        <v>2</v>
      </c>
      <c r="B9" s="878" t="s">
        <v>2568</v>
      </c>
      <c r="C9" s="851"/>
      <c r="D9" s="878">
        <v>2014</v>
      </c>
      <c r="E9" s="851" t="s">
        <v>2569</v>
      </c>
      <c r="F9" s="850">
        <v>530</v>
      </c>
      <c r="G9" s="852" t="s">
        <v>2563</v>
      </c>
      <c r="H9" s="903" t="s">
        <v>2871</v>
      </c>
      <c r="I9" s="910">
        <v>0</v>
      </c>
      <c r="J9" s="913">
        <f>735000*580</f>
        <v>426300000</v>
      </c>
      <c r="K9" s="910">
        <f>250871*580</f>
        <v>145505180</v>
      </c>
      <c r="L9" s="910">
        <f t="shared" si="0"/>
        <v>280794820</v>
      </c>
      <c r="M9" s="910">
        <f>+I9+L9</f>
        <v>280794820</v>
      </c>
      <c r="N9" s="912">
        <v>0.34132108843537418</v>
      </c>
      <c r="O9" s="882" t="s">
        <v>3912</v>
      </c>
    </row>
    <row r="10" spans="1:16" s="855" customFormat="1" ht="24" x14ac:dyDescent="0.2">
      <c r="A10" s="850">
        <v>3</v>
      </c>
      <c r="B10" s="878">
        <v>917</v>
      </c>
      <c r="C10" s="851"/>
      <c r="D10" s="878">
        <v>2016</v>
      </c>
      <c r="E10" s="851" t="s">
        <v>2628</v>
      </c>
      <c r="F10" s="850">
        <v>900</v>
      </c>
      <c r="G10" s="852" t="s">
        <v>2586</v>
      </c>
      <c r="H10" s="903" t="s">
        <v>3913</v>
      </c>
      <c r="I10" s="880">
        <v>0</v>
      </c>
      <c r="J10" s="881">
        <v>70250000</v>
      </c>
      <c r="K10" s="881">
        <v>39854371.5</v>
      </c>
      <c r="L10" s="914">
        <f t="shared" si="0"/>
        <v>30395628.5</v>
      </c>
      <c r="M10" s="914">
        <f>+L10+I10</f>
        <v>30395628.5</v>
      </c>
      <c r="N10" s="912">
        <v>0.56732201423487549</v>
      </c>
      <c r="O10" s="915"/>
    </row>
    <row r="11" spans="1:16" s="855" customFormat="1" ht="24" x14ac:dyDescent="0.2">
      <c r="A11" s="850">
        <v>4</v>
      </c>
      <c r="B11" s="878">
        <v>924</v>
      </c>
      <c r="C11" s="851"/>
      <c r="D11" s="878">
        <v>2014</v>
      </c>
      <c r="E11" s="851" t="s">
        <v>2574</v>
      </c>
      <c r="F11" s="850">
        <v>800</v>
      </c>
      <c r="G11" s="852" t="s">
        <v>2563</v>
      </c>
      <c r="H11" s="903" t="s">
        <v>3913</v>
      </c>
      <c r="I11" s="880">
        <v>0</v>
      </c>
      <c r="J11" s="881">
        <v>87780000</v>
      </c>
      <c r="K11" s="910">
        <v>9235066.5</v>
      </c>
      <c r="L11" s="914">
        <f t="shared" si="0"/>
        <v>78544933.5</v>
      </c>
      <c r="M11" s="914">
        <f>+L11+I11</f>
        <v>78544933.5</v>
      </c>
      <c r="N11" s="912">
        <v>0.10520695488721804</v>
      </c>
      <c r="O11" s="882"/>
    </row>
    <row r="12" spans="1:16" s="855" customFormat="1" ht="24" x14ac:dyDescent="0.2">
      <c r="A12" s="850">
        <v>5</v>
      </c>
      <c r="B12" s="850">
        <v>932</v>
      </c>
      <c r="C12" s="851"/>
      <c r="D12" s="916">
        <v>2014</v>
      </c>
      <c r="E12" s="851" t="s">
        <v>2577</v>
      </c>
      <c r="F12" s="850">
        <v>1800</v>
      </c>
      <c r="G12" s="850" t="s">
        <v>2563</v>
      </c>
      <c r="H12" s="917" t="s">
        <v>2874</v>
      </c>
      <c r="I12" s="910">
        <v>0</v>
      </c>
      <c r="J12" s="881">
        <v>288991120</v>
      </c>
      <c r="K12" s="910">
        <v>225855877</v>
      </c>
      <c r="L12" s="914">
        <f t="shared" si="0"/>
        <v>63135243</v>
      </c>
      <c r="M12" s="914">
        <f>+L12+I12</f>
        <v>63135243</v>
      </c>
      <c r="N12" s="912">
        <v>0.78153223877605649</v>
      </c>
      <c r="O12" s="882"/>
    </row>
    <row r="13" spans="1:16" s="855" customFormat="1" x14ac:dyDescent="0.2">
      <c r="A13" s="850">
        <v>6</v>
      </c>
      <c r="B13" s="878">
        <v>937</v>
      </c>
      <c r="C13" s="851"/>
      <c r="D13" s="878">
        <v>2015</v>
      </c>
      <c r="E13" s="851" t="s">
        <v>2858</v>
      </c>
      <c r="F13" s="850">
        <v>100</v>
      </c>
      <c r="G13" s="852" t="s">
        <v>2586</v>
      </c>
      <c r="H13" s="903" t="s">
        <v>3914</v>
      </c>
      <c r="I13" s="880">
        <v>0</v>
      </c>
      <c r="J13" s="881">
        <v>75877977</v>
      </c>
      <c r="K13" s="910">
        <v>14275595.4</v>
      </c>
      <c r="L13" s="914">
        <f t="shared" si="0"/>
        <v>61602381.600000001</v>
      </c>
      <c r="M13" s="914">
        <f>+L13+I13</f>
        <v>61602381.600000001</v>
      </c>
      <c r="N13" s="912">
        <v>0.18813885088159374</v>
      </c>
      <c r="O13" s="882"/>
    </row>
    <row r="14" spans="1:16" s="855" customFormat="1" x14ac:dyDescent="0.2">
      <c r="A14" s="850">
        <v>7</v>
      </c>
      <c r="B14" s="878">
        <v>965</v>
      </c>
      <c r="C14" s="851"/>
      <c r="D14" s="878" t="s">
        <v>2678</v>
      </c>
      <c r="E14" s="851" t="s">
        <v>3915</v>
      </c>
      <c r="F14" s="850" t="s">
        <v>2566</v>
      </c>
      <c r="G14" s="852" t="s">
        <v>2586</v>
      </c>
      <c r="H14" s="903" t="s">
        <v>3916</v>
      </c>
      <c r="I14" s="880">
        <v>0</v>
      </c>
      <c r="J14" s="881">
        <v>17787881.119999997</v>
      </c>
      <c r="K14" s="910">
        <v>0</v>
      </c>
      <c r="L14" s="914">
        <f t="shared" si="0"/>
        <v>17787881.119999997</v>
      </c>
      <c r="M14" s="914">
        <f>+L14+I14</f>
        <v>17787881.119999997</v>
      </c>
      <c r="N14" s="912">
        <v>0</v>
      </c>
      <c r="O14" s="882"/>
    </row>
    <row r="15" spans="1:16" s="855" customFormat="1" x14ac:dyDescent="0.2">
      <c r="A15" s="850">
        <v>8</v>
      </c>
      <c r="B15" s="901">
        <v>973</v>
      </c>
      <c r="C15" s="902" t="s">
        <v>2250</v>
      </c>
      <c r="D15" s="902" t="s">
        <v>2884</v>
      </c>
      <c r="E15" s="851" t="s">
        <v>2914</v>
      </c>
      <c r="F15" s="850">
        <v>3000</v>
      </c>
      <c r="G15" s="850" t="s">
        <v>2563</v>
      </c>
      <c r="H15" s="887" t="s">
        <v>2601</v>
      </c>
      <c r="I15" s="910">
        <v>0</v>
      </c>
      <c r="J15" s="910">
        <v>167962500</v>
      </c>
      <c r="K15" s="910">
        <v>67112500</v>
      </c>
      <c r="L15" s="881">
        <f t="shared" si="0"/>
        <v>100850000</v>
      </c>
      <c r="M15" s="881">
        <f t="shared" ref="M15:M20" si="1">+I15+L15</f>
        <v>100850000</v>
      </c>
      <c r="N15" s="912">
        <v>0.39956835603185237</v>
      </c>
      <c r="O15" s="882"/>
    </row>
    <row r="16" spans="1:16" s="855" customFormat="1" ht="84" x14ac:dyDescent="0.2">
      <c r="A16" s="850">
        <v>9</v>
      </c>
      <c r="B16" s="901">
        <v>973</v>
      </c>
      <c r="C16" s="884" t="s">
        <v>2250</v>
      </c>
      <c r="D16" s="902" t="s">
        <v>2902</v>
      </c>
      <c r="E16" s="851" t="s">
        <v>2913</v>
      </c>
      <c r="F16" s="850">
        <v>1310</v>
      </c>
      <c r="G16" s="850" t="s">
        <v>2179</v>
      </c>
      <c r="H16" s="887" t="s">
        <v>2600</v>
      </c>
      <c r="I16" s="910">
        <v>0</v>
      </c>
      <c r="J16" s="910">
        <v>1147057737.7</v>
      </c>
      <c r="K16" s="910">
        <v>627681820.94000006</v>
      </c>
      <c r="L16" s="910">
        <f t="shared" si="0"/>
        <v>519375916.75999999</v>
      </c>
      <c r="M16" s="910">
        <f t="shared" si="1"/>
        <v>519375916.75999999</v>
      </c>
      <c r="N16" s="912">
        <v>0.5472103106148638</v>
      </c>
      <c r="O16" s="882" t="s">
        <v>3917</v>
      </c>
    </row>
    <row r="17" spans="1:15" s="855" customFormat="1" ht="24" x14ac:dyDescent="0.2">
      <c r="A17" s="850">
        <v>10</v>
      </c>
      <c r="B17" s="878">
        <v>973</v>
      </c>
      <c r="C17" s="851"/>
      <c r="D17" s="878">
        <v>2015</v>
      </c>
      <c r="E17" s="851" t="s">
        <v>2886</v>
      </c>
      <c r="F17" s="850">
        <v>625</v>
      </c>
      <c r="G17" s="852" t="s">
        <v>2563</v>
      </c>
      <c r="H17" s="903" t="s">
        <v>2887</v>
      </c>
      <c r="I17" s="880">
        <v>0</v>
      </c>
      <c r="J17" s="881">
        <v>473752200</v>
      </c>
      <c r="K17" s="910">
        <v>165463560</v>
      </c>
      <c r="L17" s="910">
        <f t="shared" si="0"/>
        <v>308288640</v>
      </c>
      <c r="M17" s="910">
        <f t="shared" si="1"/>
        <v>308288640</v>
      </c>
      <c r="N17" s="912">
        <v>0.34926182928543659</v>
      </c>
      <c r="O17" s="882"/>
    </row>
    <row r="18" spans="1:15" s="855" customFormat="1" ht="24" x14ac:dyDescent="0.2">
      <c r="A18" s="850">
        <v>11</v>
      </c>
      <c r="B18" s="878">
        <v>973</v>
      </c>
      <c r="C18" s="851"/>
      <c r="D18" s="878">
        <v>2016</v>
      </c>
      <c r="E18" s="851" t="s">
        <v>3918</v>
      </c>
      <c r="F18" s="850" t="s">
        <v>2566</v>
      </c>
      <c r="G18" s="852" t="s">
        <v>2586</v>
      </c>
      <c r="H18" s="903" t="s">
        <v>3916</v>
      </c>
      <c r="I18" s="880">
        <v>0</v>
      </c>
      <c r="J18" s="881">
        <v>19307998.870000001</v>
      </c>
      <c r="K18" s="910">
        <v>0</v>
      </c>
      <c r="L18" s="910">
        <f t="shared" si="0"/>
        <v>19307998.870000001</v>
      </c>
      <c r="M18" s="910">
        <f t="shared" si="1"/>
        <v>19307998.870000001</v>
      </c>
      <c r="N18" s="912">
        <v>0</v>
      </c>
      <c r="O18" s="882"/>
    </row>
    <row r="19" spans="1:15" s="855" customFormat="1" ht="24" x14ac:dyDescent="0.2">
      <c r="A19" s="850">
        <v>12</v>
      </c>
      <c r="B19" s="878">
        <v>973</v>
      </c>
      <c r="C19" s="851"/>
      <c r="D19" s="878">
        <v>2016</v>
      </c>
      <c r="E19" s="851" t="s">
        <v>3919</v>
      </c>
      <c r="F19" s="850" t="s">
        <v>2566</v>
      </c>
      <c r="G19" s="852" t="s">
        <v>2586</v>
      </c>
      <c r="H19" s="903" t="s">
        <v>3916</v>
      </c>
      <c r="I19" s="880">
        <v>0</v>
      </c>
      <c r="J19" s="881">
        <v>19580000</v>
      </c>
      <c r="K19" s="910">
        <v>0</v>
      </c>
      <c r="L19" s="910">
        <f t="shared" si="0"/>
        <v>19580000</v>
      </c>
      <c r="M19" s="910">
        <f t="shared" si="1"/>
        <v>19580000</v>
      </c>
      <c r="N19" s="912">
        <v>0</v>
      </c>
      <c r="O19" s="882"/>
    </row>
    <row r="20" spans="1:15" s="855" customFormat="1" x14ac:dyDescent="0.2">
      <c r="A20" s="850">
        <v>13</v>
      </c>
      <c r="B20" s="850">
        <v>978</v>
      </c>
      <c r="C20" s="884"/>
      <c r="D20" s="902">
        <v>2012</v>
      </c>
      <c r="E20" s="851" t="s">
        <v>3920</v>
      </c>
      <c r="F20" s="850">
        <v>2122</v>
      </c>
      <c r="G20" s="850" t="s">
        <v>2888</v>
      </c>
      <c r="H20" s="903" t="s">
        <v>2889</v>
      </c>
      <c r="I20" s="910">
        <v>0</v>
      </c>
      <c r="J20" s="881">
        <v>1147000000</v>
      </c>
      <c r="K20" s="910">
        <v>381329940.42000002</v>
      </c>
      <c r="L20" s="910">
        <f t="shared" si="0"/>
        <v>765670059.57999992</v>
      </c>
      <c r="M20" s="910">
        <f t="shared" si="1"/>
        <v>765670059.57999992</v>
      </c>
      <c r="N20" s="912">
        <v>0.33245853567567568</v>
      </c>
      <c r="O20" s="882"/>
    </row>
    <row r="22" spans="1:15" x14ac:dyDescent="0.2">
      <c r="E22" s="918" t="s">
        <v>2181</v>
      </c>
      <c r="F22" s="919">
        <f>SUM(F8:F20)</f>
        <v>11187</v>
      </c>
      <c r="H22" s="920" t="s">
        <v>2181</v>
      </c>
      <c r="I22" s="921">
        <f>SUM(I8:I20)</f>
        <v>0</v>
      </c>
      <c r="J22" s="921">
        <f>+SUM(J8:J20)</f>
        <v>3953547414.6899996</v>
      </c>
      <c r="K22" s="921">
        <f>SUM(K8:K20)</f>
        <v>1676313911.7600002</v>
      </c>
      <c r="L22" s="921">
        <f>SUM(L8:L20)</f>
        <v>2277233502.9299998</v>
      </c>
      <c r="M22" s="921">
        <f>SUM(M8:M20)</f>
        <v>2277233502.9299998</v>
      </c>
    </row>
    <row r="23" spans="1:15" x14ac:dyDescent="0.2">
      <c r="E23" s="864"/>
      <c r="F23" s="293"/>
      <c r="G23" s="855"/>
      <c r="H23" s="922"/>
      <c r="I23" s="294"/>
      <c r="J23" s="294"/>
      <c r="K23" s="294"/>
      <c r="L23" s="294"/>
      <c r="M23" s="294"/>
      <c r="N23" s="923"/>
    </row>
    <row r="24" spans="1:15" x14ac:dyDescent="0.2">
      <c r="A24" s="278" t="s">
        <v>2643</v>
      </c>
      <c r="B24" s="278"/>
      <c r="C24" s="896"/>
      <c r="D24" s="896"/>
      <c r="E24" s="896"/>
      <c r="F24" s="278"/>
      <c r="G24" s="855"/>
      <c r="H24" s="922"/>
      <c r="I24" s="294"/>
      <c r="J24" s="294"/>
      <c r="K24" s="294"/>
      <c r="L24" s="294"/>
      <c r="M24" s="294"/>
      <c r="N24" s="923"/>
    </row>
    <row r="25" spans="1:15" s="855" customFormat="1" x14ac:dyDescent="0.2">
      <c r="A25" s="906"/>
      <c r="B25" s="906"/>
      <c r="C25" s="924"/>
      <c r="D25" s="924"/>
      <c r="E25" s="924"/>
      <c r="F25" s="906"/>
      <c r="H25" s="922"/>
      <c r="I25" s="294"/>
      <c r="J25" s="294"/>
      <c r="K25" s="294"/>
      <c r="L25" s="294"/>
      <c r="M25" s="294"/>
      <c r="N25" s="923"/>
    </row>
    <row r="26" spans="1:15" ht="48" x14ac:dyDescent="0.2">
      <c r="A26" s="849" t="s">
        <v>2178</v>
      </c>
      <c r="B26" s="849" t="s">
        <v>2182</v>
      </c>
      <c r="C26" s="849" t="s">
        <v>2183</v>
      </c>
      <c r="D26" s="849" t="s">
        <v>2867</v>
      </c>
      <c r="E26" s="849" t="s">
        <v>2184</v>
      </c>
      <c r="F26" s="849" t="s">
        <v>2185</v>
      </c>
      <c r="G26" s="849" t="s">
        <v>2186</v>
      </c>
      <c r="H26" s="849" t="s">
        <v>2187</v>
      </c>
      <c r="I26" s="849" t="s">
        <v>2206</v>
      </c>
      <c r="J26" s="849" t="s">
        <v>3921</v>
      </c>
      <c r="K26" s="849" t="s">
        <v>2207</v>
      </c>
      <c r="L26" s="849" t="s">
        <v>2619</v>
      </c>
      <c r="M26" s="849" t="s">
        <v>2208</v>
      </c>
      <c r="N26" s="849" t="s">
        <v>2620</v>
      </c>
      <c r="O26" s="849" t="s">
        <v>2192</v>
      </c>
    </row>
    <row r="27" spans="1:15" s="855" customFormat="1" ht="72" x14ac:dyDescent="0.2">
      <c r="A27" s="850">
        <v>1</v>
      </c>
      <c r="B27" s="850">
        <v>973</v>
      </c>
      <c r="C27" s="884" t="s">
        <v>3922</v>
      </c>
      <c r="D27" s="850">
        <v>2013</v>
      </c>
      <c r="E27" s="851" t="s">
        <v>2592</v>
      </c>
      <c r="F27" s="850">
        <v>715</v>
      </c>
      <c r="G27" s="850" t="s">
        <v>2605</v>
      </c>
      <c r="H27" s="850" t="s">
        <v>3923</v>
      </c>
      <c r="I27" s="886">
        <v>0</v>
      </c>
      <c r="J27" s="925">
        <v>1087700</v>
      </c>
      <c r="K27" s="925">
        <v>257679</v>
      </c>
      <c r="L27" s="925">
        <f>+J27-K27</f>
        <v>830021</v>
      </c>
      <c r="M27" s="925">
        <f>+L27+I27</f>
        <v>830021</v>
      </c>
      <c r="N27" s="912">
        <v>0.23690263859520089</v>
      </c>
      <c r="O27" s="926" t="s">
        <v>3924</v>
      </c>
    </row>
    <row r="28" spans="1:15" s="855" customFormat="1" ht="84" x14ac:dyDescent="0.2">
      <c r="A28" s="850">
        <v>2</v>
      </c>
      <c r="B28" s="901">
        <v>973</v>
      </c>
      <c r="C28" s="902" t="s">
        <v>2610</v>
      </c>
      <c r="D28" s="902">
        <v>2013</v>
      </c>
      <c r="E28" s="851" t="s">
        <v>2611</v>
      </c>
      <c r="F28" s="850">
        <v>817</v>
      </c>
      <c r="G28" s="927" t="s">
        <v>2605</v>
      </c>
      <c r="H28" s="850" t="s">
        <v>3925</v>
      </c>
      <c r="I28" s="886">
        <v>0</v>
      </c>
      <c r="J28" s="925">
        <v>1624267.34</v>
      </c>
      <c r="K28" s="925">
        <v>821177.81</v>
      </c>
      <c r="L28" s="925">
        <f>+J28-K28</f>
        <v>803089.53</v>
      </c>
      <c r="M28" s="925">
        <f>+L28+I28</f>
        <v>803089.53</v>
      </c>
      <c r="N28" s="912">
        <v>0.50556813510761101</v>
      </c>
      <c r="O28" s="926" t="s">
        <v>3926</v>
      </c>
    </row>
    <row r="29" spans="1:15" s="930" customFormat="1" ht="60" x14ac:dyDescent="0.2">
      <c r="A29" s="850">
        <v>3</v>
      </c>
      <c r="B29" s="901">
        <v>973</v>
      </c>
      <c r="C29" s="884" t="s">
        <v>2612</v>
      </c>
      <c r="D29" s="902">
        <v>2012</v>
      </c>
      <c r="E29" s="883" t="s">
        <v>2613</v>
      </c>
      <c r="F29" s="878">
        <v>668</v>
      </c>
      <c r="G29" s="878" t="s">
        <v>2605</v>
      </c>
      <c r="H29" s="878" t="s">
        <v>3927</v>
      </c>
      <c r="I29" s="928">
        <v>0</v>
      </c>
      <c r="J29" s="925">
        <v>828700</v>
      </c>
      <c r="K29" s="925">
        <v>159565.41</v>
      </c>
      <c r="L29" s="925">
        <f>+J29-K29</f>
        <v>669134.59</v>
      </c>
      <c r="M29" s="925">
        <f>+L29+I29</f>
        <v>669134.59</v>
      </c>
      <c r="N29" s="929">
        <v>0.1925490648002896</v>
      </c>
      <c r="O29" s="881" t="s">
        <v>3928</v>
      </c>
    </row>
    <row r="30" spans="1:15" s="855" customFormat="1" x14ac:dyDescent="0.2">
      <c r="A30" s="850">
        <v>4</v>
      </c>
      <c r="B30" s="901">
        <v>973</v>
      </c>
      <c r="C30" s="902" t="s">
        <v>3929</v>
      </c>
      <c r="D30" s="902">
        <v>2013</v>
      </c>
      <c r="E30" s="851" t="s">
        <v>2593</v>
      </c>
      <c r="F30" s="850">
        <v>1500</v>
      </c>
      <c r="G30" s="927" t="s">
        <v>2605</v>
      </c>
      <c r="H30" s="850" t="s">
        <v>3930</v>
      </c>
      <c r="I30" s="886">
        <v>0</v>
      </c>
      <c r="J30" s="925">
        <v>1931055.22</v>
      </c>
      <c r="K30" s="925">
        <v>389321.3</v>
      </c>
      <c r="L30" s="925">
        <f>+J30-K30</f>
        <v>1541733.92</v>
      </c>
      <c r="M30" s="925">
        <f>+L30+I30</f>
        <v>1541733.92</v>
      </c>
      <c r="N30" s="912">
        <v>0.20161065098904835</v>
      </c>
      <c r="O30" s="926"/>
    </row>
    <row r="31" spans="1:15" s="855" customFormat="1" ht="24" x14ac:dyDescent="0.2">
      <c r="A31" s="850">
        <v>5</v>
      </c>
      <c r="B31" s="901">
        <v>973</v>
      </c>
      <c r="C31" s="884" t="s">
        <v>2614</v>
      </c>
      <c r="D31" s="902">
        <v>2013</v>
      </c>
      <c r="E31" s="851" t="s">
        <v>2615</v>
      </c>
      <c r="F31" s="850">
        <v>816</v>
      </c>
      <c r="G31" s="850" t="s">
        <v>2605</v>
      </c>
      <c r="H31" s="850" t="s">
        <v>3931</v>
      </c>
      <c r="I31" s="886">
        <v>0</v>
      </c>
      <c r="J31" s="925">
        <v>1070668.5</v>
      </c>
      <c r="K31" s="925">
        <v>618451.56000000006</v>
      </c>
      <c r="L31" s="925">
        <f>+J31-K31</f>
        <v>452216.93999999994</v>
      </c>
      <c r="M31" s="925">
        <f>+L31+I31</f>
        <v>452216.93999999994</v>
      </c>
      <c r="N31" s="912">
        <v>0.57763122759285446</v>
      </c>
      <c r="O31" s="931"/>
    </row>
    <row r="32" spans="1:15" s="855" customFormat="1" ht="24" x14ac:dyDescent="0.2">
      <c r="A32" s="850">
        <v>6</v>
      </c>
      <c r="B32" s="850">
        <v>973</v>
      </c>
      <c r="C32" s="884" t="s">
        <v>3932</v>
      </c>
      <c r="D32" s="850">
        <v>2012</v>
      </c>
      <c r="E32" s="851" t="s">
        <v>2590</v>
      </c>
      <c r="F32" s="850">
        <v>910</v>
      </c>
      <c r="G32" s="1122" t="s">
        <v>2605</v>
      </c>
      <c r="H32" s="1123" t="s">
        <v>3933</v>
      </c>
      <c r="I32" s="1124">
        <v>0</v>
      </c>
      <c r="J32" s="1125">
        <v>32778000</v>
      </c>
      <c r="K32" s="1125">
        <v>0</v>
      </c>
      <c r="L32" s="1125">
        <v>0</v>
      </c>
      <c r="M32" s="1125">
        <v>0</v>
      </c>
      <c r="N32" s="912">
        <v>0</v>
      </c>
      <c r="O32" s="1126"/>
    </row>
    <row r="33" spans="1:15" s="855" customFormat="1" x14ac:dyDescent="0.2">
      <c r="A33" s="850">
        <v>7</v>
      </c>
      <c r="B33" s="850">
        <v>973</v>
      </c>
      <c r="C33" s="884" t="s">
        <v>3934</v>
      </c>
      <c r="D33" s="850">
        <v>2012</v>
      </c>
      <c r="E33" s="851" t="s">
        <v>2591</v>
      </c>
      <c r="F33" s="850">
        <v>930</v>
      </c>
      <c r="G33" s="1122"/>
      <c r="H33" s="1123"/>
      <c r="I33" s="1124"/>
      <c r="J33" s="1125"/>
      <c r="K33" s="1125"/>
      <c r="L33" s="1125"/>
      <c r="M33" s="1125"/>
      <c r="N33" s="912"/>
      <c r="O33" s="1126"/>
    </row>
    <row r="34" spans="1:15" s="855" customFormat="1" ht="24" x14ac:dyDescent="0.2">
      <c r="A34" s="850">
        <v>8</v>
      </c>
      <c r="B34" s="850">
        <v>973</v>
      </c>
      <c r="C34" s="884" t="s">
        <v>3935</v>
      </c>
      <c r="D34" s="850">
        <v>2012</v>
      </c>
      <c r="E34" s="851" t="s">
        <v>2587</v>
      </c>
      <c r="F34" s="850">
        <v>790</v>
      </c>
      <c r="G34" s="850" t="s">
        <v>2605</v>
      </c>
      <c r="H34" s="850" t="s">
        <v>3936</v>
      </c>
      <c r="I34" s="886">
        <v>0</v>
      </c>
      <c r="J34" s="886">
        <v>1288868</v>
      </c>
      <c r="K34" s="886">
        <v>128887</v>
      </c>
      <c r="L34" s="925">
        <f t="shared" ref="L34:L39" si="2">+J34-K34</f>
        <v>1159981</v>
      </c>
      <c r="M34" s="925">
        <f t="shared" ref="M34:M39" si="3">+L34+I34</f>
        <v>1159981</v>
      </c>
      <c r="N34" s="912">
        <v>0.1000001551749287</v>
      </c>
      <c r="O34" s="931"/>
    </row>
    <row r="35" spans="1:15" s="855" customFormat="1" ht="24" x14ac:dyDescent="0.2">
      <c r="A35" s="850">
        <v>9</v>
      </c>
      <c r="B35" s="901">
        <v>973</v>
      </c>
      <c r="C35" s="884" t="s">
        <v>2607</v>
      </c>
      <c r="D35" s="902">
        <v>2013</v>
      </c>
      <c r="E35" s="851" t="s">
        <v>2608</v>
      </c>
      <c r="F35" s="850">
        <v>1266</v>
      </c>
      <c r="G35" s="850" t="s">
        <v>2605</v>
      </c>
      <c r="H35" s="850" t="s">
        <v>3937</v>
      </c>
      <c r="I35" s="886">
        <v>0</v>
      </c>
      <c r="J35" s="886">
        <v>2479000</v>
      </c>
      <c r="K35" s="886">
        <v>311820.61</v>
      </c>
      <c r="L35" s="925">
        <f t="shared" si="2"/>
        <v>2167179.39</v>
      </c>
      <c r="M35" s="925">
        <f t="shared" si="3"/>
        <v>2167179.39</v>
      </c>
      <c r="N35" s="912">
        <v>0.12578483662767245</v>
      </c>
      <c r="O35" s="931"/>
    </row>
    <row r="36" spans="1:15" s="855" customFormat="1" ht="24" x14ac:dyDescent="0.2">
      <c r="A36" s="850">
        <v>10</v>
      </c>
      <c r="B36" s="901">
        <v>973</v>
      </c>
      <c r="C36" s="884" t="s">
        <v>2616</v>
      </c>
      <c r="D36" s="902">
        <v>2012</v>
      </c>
      <c r="E36" s="851" t="s">
        <v>2617</v>
      </c>
      <c r="F36" s="850">
        <v>3000</v>
      </c>
      <c r="G36" s="850" t="s">
        <v>2605</v>
      </c>
      <c r="H36" s="850" t="s">
        <v>3938</v>
      </c>
      <c r="I36" s="886">
        <v>0</v>
      </c>
      <c r="J36" s="886">
        <v>2990000</v>
      </c>
      <c r="K36" s="886">
        <v>813186.74</v>
      </c>
      <c r="L36" s="925">
        <f t="shared" si="2"/>
        <v>2176813.2599999998</v>
      </c>
      <c r="M36" s="925">
        <f t="shared" si="3"/>
        <v>2176813.2599999998</v>
      </c>
      <c r="N36" s="912">
        <v>0.27196880936454848</v>
      </c>
      <c r="O36" s="931"/>
    </row>
    <row r="37" spans="1:15" s="855" customFormat="1" ht="24" x14ac:dyDescent="0.2">
      <c r="A37" s="850">
        <v>11</v>
      </c>
      <c r="B37" s="901">
        <v>973</v>
      </c>
      <c r="C37" s="884">
        <v>9419</v>
      </c>
      <c r="D37" s="902">
        <v>2013</v>
      </c>
      <c r="E37" s="851" t="s">
        <v>2606</v>
      </c>
      <c r="F37" s="850">
        <v>750</v>
      </c>
      <c r="G37" s="850" t="s">
        <v>2605</v>
      </c>
      <c r="H37" s="850" t="s">
        <v>3939</v>
      </c>
      <c r="I37" s="886">
        <v>0</v>
      </c>
      <c r="J37" s="886">
        <v>1576040</v>
      </c>
      <c r="K37" s="886">
        <v>298608.31</v>
      </c>
      <c r="L37" s="925">
        <f t="shared" si="2"/>
        <v>1277431.69</v>
      </c>
      <c r="M37" s="925">
        <f t="shared" si="3"/>
        <v>1277431.69</v>
      </c>
      <c r="N37" s="912">
        <v>0.18946746909976905</v>
      </c>
      <c r="O37" s="931"/>
    </row>
    <row r="38" spans="1:15" s="855" customFormat="1" ht="24" x14ac:dyDescent="0.2">
      <c r="A38" s="850">
        <v>12</v>
      </c>
      <c r="B38" s="850">
        <v>973</v>
      </c>
      <c r="C38" s="884" t="s">
        <v>3940</v>
      </c>
      <c r="D38" s="850">
        <v>2015</v>
      </c>
      <c r="E38" s="851" t="s">
        <v>2597</v>
      </c>
      <c r="F38" s="850">
        <v>2000</v>
      </c>
      <c r="G38" s="850" t="s">
        <v>2605</v>
      </c>
      <c r="H38" s="850" t="s">
        <v>3941</v>
      </c>
      <c r="I38" s="886">
        <v>0</v>
      </c>
      <c r="J38" s="886">
        <v>270000</v>
      </c>
      <c r="K38" s="886">
        <v>0</v>
      </c>
      <c r="L38" s="925">
        <f t="shared" si="2"/>
        <v>270000</v>
      </c>
      <c r="M38" s="925">
        <f t="shared" si="3"/>
        <v>270000</v>
      </c>
      <c r="N38" s="912">
        <v>0</v>
      </c>
      <c r="O38" s="931"/>
    </row>
    <row r="39" spans="1:15" s="855" customFormat="1" ht="24" x14ac:dyDescent="0.2">
      <c r="A39" s="850">
        <v>13</v>
      </c>
      <c r="B39" s="850">
        <v>973</v>
      </c>
      <c r="C39" s="884" t="s">
        <v>3940</v>
      </c>
      <c r="D39" s="850">
        <v>2015</v>
      </c>
      <c r="E39" s="851" t="s">
        <v>2596</v>
      </c>
      <c r="F39" s="850">
        <v>2000</v>
      </c>
      <c r="G39" s="850" t="s">
        <v>2605</v>
      </c>
      <c r="H39" s="850" t="s">
        <v>3942</v>
      </c>
      <c r="I39" s="886">
        <v>0</v>
      </c>
      <c r="J39" s="886">
        <v>295000</v>
      </c>
      <c r="K39" s="886">
        <v>52580.79</v>
      </c>
      <c r="L39" s="925">
        <f t="shared" si="2"/>
        <v>242419.21</v>
      </c>
      <c r="M39" s="925">
        <f t="shared" si="3"/>
        <v>242419.21</v>
      </c>
      <c r="N39" s="912">
        <v>0.17823996610169493</v>
      </c>
      <c r="O39" s="931"/>
    </row>
    <row r="41" spans="1:15" x14ac:dyDescent="0.2">
      <c r="E41" s="918" t="s">
        <v>2181</v>
      </c>
      <c r="F41" s="919">
        <f>SUM(F27:F39)</f>
        <v>16162</v>
      </c>
      <c r="H41" s="920" t="s">
        <v>2181</v>
      </c>
      <c r="I41" s="932">
        <f>SUM(I27:I39)</f>
        <v>0</v>
      </c>
      <c r="J41" s="932">
        <f>+SUM(J27:J39)</f>
        <v>48219299.060000002</v>
      </c>
      <c r="K41" s="932">
        <f>SUM(K27:K39)</f>
        <v>3851278.53</v>
      </c>
      <c r="L41" s="932">
        <f>SUM(L27:L39)</f>
        <v>11590020.530000001</v>
      </c>
      <c r="M41" s="932">
        <f>SUM(M27:M39)</f>
        <v>11590020.530000001</v>
      </c>
    </row>
    <row r="42" spans="1:15" x14ac:dyDescent="0.2">
      <c r="E42" s="275"/>
    </row>
    <row r="43" spans="1:15" x14ac:dyDescent="0.2">
      <c r="E43" s="275"/>
    </row>
    <row r="45" spans="1:15" x14ac:dyDescent="0.2">
      <c r="A45" s="278" t="s">
        <v>3943</v>
      </c>
      <c r="B45" s="278"/>
      <c r="C45" s="278"/>
      <c r="D45" s="896"/>
      <c r="E45" s="278"/>
      <c r="F45" s="278"/>
    </row>
    <row r="46" spans="1:15" s="855" customFormat="1" x14ac:dyDescent="0.2">
      <c r="A46" s="906"/>
      <c r="B46" s="906"/>
      <c r="C46" s="906"/>
      <c r="D46" s="924"/>
      <c r="E46" s="906"/>
      <c r="F46" s="906"/>
      <c r="N46" s="923"/>
    </row>
    <row r="47" spans="1:15" s="855" customFormat="1" ht="48" x14ac:dyDescent="0.2">
      <c r="A47" s="849" t="s">
        <v>2178</v>
      </c>
      <c r="B47" s="849" t="s">
        <v>2182</v>
      </c>
      <c r="C47" s="849" t="s">
        <v>2183</v>
      </c>
      <c r="D47" s="849" t="s">
        <v>2867</v>
      </c>
      <c r="E47" s="849" t="s">
        <v>2184</v>
      </c>
      <c r="F47" s="849" t="s">
        <v>2185</v>
      </c>
      <c r="G47" s="849" t="s">
        <v>2891</v>
      </c>
      <c r="H47" s="849" t="s">
        <v>2187</v>
      </c>
      <c r="I47" s="849" t="s">
        <v>2206</v>
      </c>
      <c r="J47" s="849" t="s">
        <v>3921</v>
      </c>
      <c r="K47" s="849" t="s">
        <v>2207</v>
      </c>
      <c r="L47" s="849" t="s">
        <v>2619</v>
      </c>
      <c r="M47" s="849" t="s">
        <v>2208</v>
      </c>
      <c r="N47" s="849" t="s">
        <v>2620</v>
      </c>
      <c r="O47" s="849" t="s">
        <v>2192</v>
      </c>
    </row>
    <row r="48" spans="1:15" s="855" customFormat="1" x14ac:dyDescent="0.2">
      <c r="A48" s="850">
        <v>1</v>
      </c>
      <c r="B48" s="850">
        <v>973</v>
      </c>
      <c r="C48" s="850">
        <v>965</v>
      </c>
      <c r="D48" s="850">
        <v>2014</v>
      </c>
      <c r="E48" s="851" t="s">
        <v>2897</v>
      </c>
      <c r="F48" s="850">
        <v>6888.17</v>
      </c>
      <c r="G48" s="852" t="s">
        <v>2893</v>
      </c>
      <c r="H48" s="850" t="s">
        <v>3944</v>
      </c>
      <c r="I48" s="913">
        <v>0</v>
      </c>
      <c r="J48" s="913">
        <v>3524245452</v>
      </c>
      <c r="K48" s="903">
        <v>675364127.57000005</v>
      </c>
      <c r="L48" s="903">
        <f t="shared" ref="L48:L53" si="4">+J48-K48</f>
        <v>2848881324.4299998</v>
      </c>
      <c r="M48" s="914">
        <f>+I48+L48</f>
        <v>2848881324.4299998</v>
      </c>
      <c r="N48" s="912">
        <v>0.23706292072560303</v>
      </c>
      <c r="O48" s="933"/>
    </row>
    <row r="49" spans="1:15" s="855" customFormat="1" ht="24" x14ac:dyDescent="0.2">
      <c r="A49" s="850">
        <v>2</v>
      </c>
      <c r="B49" s="850">
        <v>973</v>
      </c>
      <c r="C49" s="850">
        <v>965</v>
      </c>
      <c r="D49" s="850"/>
      <c r="E49" s="857" t="s">
        <v>2900</v>
      </c>
      <c r="F49" s="850">
        <v>3630.91</v>
      </c>
      <c r="G49" s="850" t="s">
        <v>2893</v>
      </c>
      <c r="H49" s="850" t="s">
        <v>3945</v>
      </c>
      <c r="I49" s="913">
        <v>0</v>
      </c>
      <c r="J49" s="913">
        <v>1953347336.6199999</v>
      </c>
      <c r="K49" s="903">
        <v>273278070.78999996</v>
      </c>
      <c r="L49" s="903">
        <f t="shared" si="4"/>
        <v>1680069265.8299999</v>
      </c>
      <c r="M49" s="914">
        <f t="shared" ref="M49:M53" si="5">+I49+L49</f>
        <v>1680069265.8299999</v>
      </c>
      <c r="N49" s="912">
        <v>0.16265881195975165</v>
      </c>
      <c r="O49" s="933"/>
    </row>
    <row r="50" spans="1:15" s="279" customFormat="1" x14ac:dyDescent="0.2">
      <c r="A50" s="850">
        <v>3</v>
      </c>
      <c r="B50" s="878">
        <v>973</v>
      </c>
      <c r="C50" s="878">
        <v>965</v>
      </c>
      <c r="D50" s="878">
        <v>2014</v>
      </c>
      <c r="E50" s="883" t="s">
        <v>2896</v>
      </c>
      <c r="F50" s="878">
        <v>13213</v>
      </c>
      <c r="G50" s="934" t="s">
        <v>2893</v>
      </c>
      <c r="H50" s="878" t="s">
        <v>2894</v>
      </c>
      <c r="I50" s="913">
        <v>0</v>
      </c>
      <c r="J50" s="913">
        <v>6780320000</v>
      </c>
      <c r="K50" s="903">
        <v>2308816183.6099997</v>
      </c>
      <c r="L50" s="903">
        <f t="shared" si="4"/>
        <v>4471503816.3900003</v>
      </c>
      <c r="M50" s="881">
        <f t="shared" si="5"/>
        <v>4471503816.3900003</v>
      </c>
      <c r="N50" s="935">
        <v>0.51633997831941625</v>
      </c>
      <c r="O50" s="936"/>
    </row>
    <row r="51" spans="1:15" s="279" customFormat="1" x14ac:dyDescent="0.2">
      <c r="A51" s="850">
        <v>4</v>
      </c>
      <c r="B51" s="878">
        <v>973</v>
      </c>
      <c r="C51" s="878">
        <v>965</v>
      </c>
      <c r="D51" s="878">
        <v>2014</v>
      </c>
      <c r="E51" s="883" t="s">
        <v>2892</v>
      </c>
      <c r="F51" s="878">
        <v>31571.72</v>
      </c>
      <c r="G51" s="934" t="s">
        <v>2893</v>
      </c>
      <c r="H51" s="878" t="s">
        <v>2894</v>
      </c>
      <c r="I51" s="913">
        <v>0</v>
      </c>
      <c r="J51" s="913">
        <v>17125000000</v>
      </c>
      <c r="K51" s="903">
        <v>4803578106</v>
      </c>
      <c r="L51" s="903">
        <f t="shared" si="4"/>
        <v>12321421894</v>
      </c>
      <c r="M51" s="881">
        <f t="shared" si="5"/>
        <v>12321421894</v>
      </c>
      <c r="N51" s="935">
        <v>0.38985582567699717</v>
      </c>
      <c r="O51" s="936"/>
    </row>
    <row r="52" spans="1:15" s="855" customFormat="1" ht="24" x14ac:dyDescent="0.2">
      <c r="A52" s="850">
        <v>5</v>
      </c>
      <c r="B52" s="850">
        <v>973</v>
      </c>
      <c r="C52" s="850">
        <v>965</v>
      </c>
      <c r="D52" s="850">
        <v>2014</v>
      </c>
      <c r="E52" s="851" t="s">
        <v>2898</v>
      </c>
      <c r="F52" s="850">
        <v>9092</v>
      </c>
      <c r="G52" s="852" t="s">
        <v>2893</v>
      </c>
      <c r="H52" s="850" t="s">
        <v>3946</v>
      </c>
      <c r="I52" s="913">
        <v>0</v>
      </c>
      <c r="J52" s="913">
        <v>6030000000</v>
      </c>
      <c r="K52" s="903">
        <v>1244157549</v>
      </c>
      <c r="L52" s="903">
        <f t="shared" si="4"/>
        <v>4785842451</v>
      </c>
      <c r="M52" s="914">
        <f t="shared" si="5"/>
        <v>4785842451</v>
      </c>
      <c r="N52" s="912">
        <v>0.25996625708813997</v>
      </c>
      <c r="O52" s="933"/>
    </row>
    <row r="53" spans="1:15" s="855" customFormat="1" x14ac:dyDescent="0.2">
      <c r="A53" s="850">
        <v>6</v>
      </c>
      <c r="B53" s="850">
        <v>973</v>
      </c>
      <c r="C53" s="850">
        <v>965</v>
      </c>
      <c r="D53" s="850">
        <v>2014</v>
      </c>
      <c r="E53" s="851" t="s">
        <v>2899</v>
      </c>
      <c r="F53" s="850">
        <v>2312.41</v>
      </c>
      <c r="G53" s="852" t="s">
        <v>2893</v>
      </c>
      <c r="H53" s="850" t="s">
        <v>2894</v>
      </c>
      <c r="I53" s="913">
        <v>0</v>
      </c>
      <c r="J53" s="913">
        <v>3547777777</v>
      </c>
      <c r="K53" s="903">
        <v>175549921.06999999</v>
      </c>
      <c r="L53" s="903">
        <f t="shared" si="4"/>
        <v>3372227855.9299998</v>
      </c>
      <c r="M53" s="914">
        <f t="shared" si="5"/>
        <v>3372227855.9299998</v>
      </c>
      <c r="N53" s="912">
        <v>5.2057550251623341E-2</v>
      </c>
      <c r="O53" s="933"/>
    </row>
    <row r="55" spans="1:15" x14ac:dyDescent="0.2">
      <c r="C55" s="276"/>
      <c r="E55" s="890" t="s">
        <v>2181</v>
      </c>
      <c r="F55" s="890">
        <f>SUM(F48:F53)</f>
        <v>66708.210000000006</v>
      </c>
      <c r="G55" s="277"/>
      <c r="H55" s="920" t="s">
        <v>2181</v>
      </c>
      <c r="I55" s="921">
        <f>SUM(I48:I53)</f>
        <v>0</v>
      </c>
      <c r="J55" s="921">
        <f>+SUM(J48:J53)</f>
        <v>38960690565.619995</v>
      </c>
      <c r="K55" s="921">
        <f>SUM(K48:K53)</f>
        <v>9480743958.039999</v>
      </c>
      <c r="L55" s="921">
        <f>SUM(L48:L53)</f>
        <v>29479946607.580002</v>
      </c>
      <c r="M55" s="921">
        <f>SUM(M48:M53)</f>
        <v>29479946607.580002</v>
      </c>
      <c r="N55" s="838"/>
    </row>
  </sheetData>
  <mergeCells count="9">
    <mergeCell ref="A1:O3"/>
    <mergeCell ref="G32:G33"/>
    <mergeCell ref="H32:H33"/>
    <mergeCell ref="I32:I33"/>
    <mergeCell ref="J32:J33"/>
    <mergeCell ref="K32:K33"/>
    <mergeCell ref="L32:L33"/>
    <mergeCell ref="M32:M33"/>
    <mergeCell ref="O32:O33"/>
  </mergeCells>
  <phoneticPr fontId="7" type="noConversion"/>
  <conditionalFormatting sqref="M10 O15:O18 O12 O20">
    <cfRule type="expression" dxfId="15" priority="9" stopIfTrue="1">
      <formula>#REF! &lt;= (25% *#REF!)</formula>
    </cfRule>
  </conditionalFormatting>
  <conditionalFormatting sqref="O13:O14">
    <cfRule type="expression" dxfId="14" priority="8" stopIfTrue="1">
      <formula>#REF! &lt;= (25% *#REF!)</formula>
    </cfRule>
  </conditionalFormatting>
  <conditionalFormatting sqref="O11:O12">
    <cfRule type="expression" dxfId="13" priority="7" stopIfTrue="1">
      <formula>#REF! &lt;= (25% *#REF!)</formula>
    </cfRule>
  </conditionalFormatting>
  <conditionalFormatting sqref="O19">
    <cfRule type="expression" dxfId="12" priority="6" stopIfTrue="1">
      <formula>#REF! &lt;= (25% *#REF!)</formula>
    </cfRule>
  </conditionalFormatting>
  <conditionalFormatting sqref="N54:N1048576 N40:N46 N1:N6 N21:N25">
    <cfRule type="dataBar" priority="1">
      <dataBar>
        <cfvo type="min"/>
        <cfvo type="max"/>
        <color theme="6" tint="0.59999389629810485"/>
      </dataBar>
      <extLst>
        <ext xmlns:x14="http://schemas.microsoft.com/office/spreadsheetml/2009/9/main" uri="{B025F937-C7B1-47D3-B67F-A62EFF666E3E}">
          <x14:id>{43B20F39-7EDC-4E1C-A121-E9B14F4038A1}</x14:id>
        </ext>
      </extLst>
    </cfRule>
    <cfRule type="dataBar" priority="2">
      <dataBar>
        <cfvo type="min"/>
        <cfvo type="max"/>
        <color theme="8" tint="0.59999389629810485"/>
      </dataBar>
      <extLst>
        <ext xmlns:x14="http://schemas.microsoft.com/office/spreadsheetml/2009/9/main" uri="{B025F937-C7B1-47D3-B67F-A62EFF666E3E}">
          <x14:id>{5308776E-CD76-4D83-B3D0-01AB52C6EAAD}</x14:id>
        </ext>
      </extLst>
    </cfRule>
    <cfRule type="dataBar" priority="3">
      <dataBar>
        <cfvo type="min"/>
        <cfvo type="max"/>
        <color theme="6" tint="0.59999389629810485"/>
      </dataBar>
      <extLst>
        <ext xmlns:x14="http://schemas.microsoft.com/office/spreadsheetml/2009/9/main" uri="{B025F937-C7B1-47D3-B67F-A62EFF666E3E}">
          <x14:id>{C5E9D069-6793-4E71-98B3-ACA8E1213FEE}</x14:id>
        </ext>
      </extLst>
    </cfRule>
    <cfRule type="dataBar" priority="4">
      <dataBar>
        <cfvo type="min"/>
        <cfvo type="max"/>
        <color rgb="FF638EC6"/>
      </dataBar>
      <extLst>
        <ext xmlns:x14="http://schemas.microsoft.com/office/spreadsheetml/2009/9/main" uri="{B025F937-C7B1-47D3-B67F-A62EFF666E3E}">
          <x14:id>{3C25CD86-A89C-44C0-A3D6-985599744F63}</x14:id>
        </ext>
      </extLst>
    </cfRule>
    <cfRule type="iconSet" priority="5">
      <iconSet iconSet="4Rating">
        <cfvo type="percent" val="0"/>
        <cfvo type="percent" val="25"/>
        <cfvo type="percent" val="50"/>
        <cfvo type="percent" val="75"/>
      </iconSet>
    </cfRule>
  </conditionalFormatting>
  <pageMargins left="0.98425196850393704" right="0" top="0.78740157480314965" bottom="0.55118110236220474" header="0.31496062992125984" footer="0.31496062992125984"/>
  <pageSetup paperSize="9" scale="50" orientation="landscape" r:id="rId1"/>
  <headerFooter>
    <oddFooter>&amp;C&amp;P</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dataBar" id="{43B20F39-7EDC-4E1C-A121-E9B14F4038A1}">
            <x14:dataBar minLength="0" maxLength="100">
              <x14:cfvo type="autoMin"/>
              <x14:cfvo type="autoMax"/>
              <x14:negativeFillColor rgb="FFFF0000"/>
              <x14:axisColor rgb="FF000000"/>
            </x14:dataBar>
          </x14:cfRule>
          <x14:cfRule type="dataBar" id="{5308776E-CD76-4D83-B3D0-01AB52C6EAAD}">
            <x14:dataBar minLength="0" maxLength="100">
              <x14:cfvo type="autoMin"/>
              <x14:cfvo type="autoMax"/>
              <x14:negativeFillColor rgb="FFFF0000"/>
              <x14:axisColor rgb="FF000000"/>
            </x14:dataBar>
          </x14:cfRule>
          <x14:cfRule type="dataBar" id="{C5E9D069-6793-4E71-98B3-ACA8E1213FEE}">
            <x14:dataBar minLength="0" maxLength="100" gradient="0">
              <x14:cfvo type="autoMin"/>
              <x14:cfvo type="autoMax"/>
              <x14:negativeFillColor rgb="FFFF0000"/>
              <x14:axisColor rgb="FF000000"/>
            </x14:dataBar>
          </x14:cfRule>
          <x14:cfRule type="dataBar" id="{3C25CD86-A89C-44C0-A3D6-985599744F63}">
            <x14:dataBar minLength="0" maxLength="100" border="1" negativeBarBorderColorSameAsPositive="0">
              <x14:cfvo type="autoMin"/>
              <x14:cfvo type="autoMax"/>
              <x14:borderColor rgb="FF638EC6"/>
              <x14:negativeFillColor rgb="FFFF0000"/>
              <x14:negativeBorderColor rgb="FFFF0000"/>
              <x14:axisColor rgb="FF000000"/>
            </x14:dataBar>
          </x14:cfRule>
          <xm:sqref>N54:N1048576 N40:N46 N1:N6 N21:N25</xm:sqref>
        </x14:conditionalFormatting>
      </x14:conditionalFormatting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9"/>
  <sheetViews>
    <sheetView workbookViewId="0">
      <selection activeCell="I35" sqref="I35"/>
    </sheetView>
  </sheetViews>
  <sheetFormatPr baseColWidth="10" defaultColWidth="10.85546875" defaultRowHeight="12.75" x14ac:dyDescent="0.2"/>
  <cols>
    <col min="1" max="16384" width="10.85546875" style="28"/>
  </cols>
  <sheetData>
    <row r="19" spans="1:1" x14ac:dyDescent="0.2">
      <c r="A19" s="31"/>
    </row>
  </sheetData>
  <phoneticPr fontId="7" type="noConversion"/>
  <printOptions horizontalCentered="1" verticalCentered="1"/>
  <pageMargins left="1.1811023622047245" right="0.74803149606299213" top="0" bottom="0.98425196850393704" header="0" footer="0"/>
  <pageSetup paperSize="9" scale="76" firstPageNumber="84"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Q43"/>
  <sheetViews>
    <sheetView topLeftCell="E20" workbookViewId="0">
      <selection activeCell="M35" sqref="M35"/>
    </sheetView>
  </sheetViews>
  <sheetFormatPr baseColWidth="10" defaultColWidth="11.42578125" defaultRowHeight="12" x14ac:dyDescent="0.2"/>
  <cols>
    <col min="1" max="1" width="3.28515625" style="275" bestFit="1" customWidth="1"/>
    <col min="2" max="2" width="10.140625" style="275" customWidth="1"/>
    <col min="3" max="3" width="16.140625" style="275" bestFit="1" customWidth="1"/>
    <col min="4" max="4" width="8.28515625" style="275" bestFit="1" customWidth="1"/>
    <col min="5" max="5" width="41.5703125" style="276" bestFit="1" customWidth="1"/>
    <col min="6" max="6" width="9" style="276" bestFit="1" customWidth="1"/>
    <col min="7" max="7" width="22.42578125" style="275" bestFit="1" customWidth="1"/>
    <col min="8" max="8" width="24.42578125" style="275" customWidth="1"/>
    <col min="9" max="9" width="13.5703125" style="275" bestFit="1" customWidth="1"/>
    <col min="10" max="11" width="16.140625" style="275" bestFit="1" customWidth="1"/>
    <col min="12" max="12" width="17" style="275" bestFit="1" customWidth="1"/>
    <col min="13" max="13" width="14.5703125" style="275" customWidth="1"/>
    <col min="14" max="14" width="11.28515625" style="275" customWidth="1"/>
    <col min="15" max="15" width="20.42578125" style="276" customWidth="1"/>
    <col min="16" max="16384" width="11.42578125" style="275"/>
  </cols>
  <sheetData>
    <row r="1" spans="1:16" x14ac:dyDescent="0.2">
      <c r="A1" s="1128" t="s">
        <v>3947</v>
      </c>
      <c r="B1" s="1128"/>
      <c r="C1" s="1128"/>
      <c r="D1" s="1128"/>
      <c r="E1" s="1128"/>
      <c r="F1" s="1128"/>
      <c r="G1" s="1128"/>
      <c r="H1" s="1128"/>
      <c r="I1" s="1128"/>
      <c r="J1" s="1128"/>
      <c r="K1" s="1128"/>
      <c r="L1" s="1128"/>
      <c r="M1" s="1128"/>
      <c r="N1" s="1128"/>
      <c r="O1" s="1128"/>
    </row>
    <row r="2" spans="1:16" x14ac:dyDescent="0.2">
      <c r="A2" s="1128"/>
      <c r="B2" s="1128"/>
      <c r="C2" s="1128"/>
      <c r="D2" s="1128"/>
      <c r="E2" s="1128"/>
      <c r="F2" s="1128"/>
      <c r="G2" s="1128"/>
      <c r="H2" s="1128"/>
      <c r="I2" s="1128"/>
      <c r="J2" s="1128"/>
      <c r="K2" s="1128"/>
      <c r="L2" s="1128"/>
      <c r="M2" s="1128"/>
      <c r="N2" s="1128"/>
      <c r="O2" s="1128"/>
    </row>
    <row r="3" spans="1:16" x14ac:dyDescent="0.2">
      <c r="A3" s="1128"/>
      <c r="B3" s="1128"/>
      <c r="C3" s="1128"/>
      <c r="D3" s="1128"/>
      <c r="E3" s="1128"/>
      <c r="F3" s="1128"/>
      <c r="G3" s="1128"/>
      <c r="H3" s="1128"/>
      <c r="I3" s="1128"/>
      <c r="J3" s="1128"/>
      <c r="K3" s="1128"/>
      <c r="L3" s="1128"/>
      <c r="M3" s="1128"/>
      <c r="N3" s="1128"/>
      <c r="O3" s="1128"/>
    </row>
    <row r="5" spans="1:16" x14ac:dyDescent="0.2">
      <c r="A5" s="1117" t="s">
        <v>2239</v>
      </c>
      <c r="B5" s="1117"/>
      <c r="C5" s="1117"/>
      <c r="D5" s="1117"/>
      <c r="E5" s="1117"/>
      <c r="F5" s="275"/>
      <c r="G5" s="276"/>
    </row>
    <row r="6" spans="1:16" x14ac:dyDescent="0.2">
      <c r="A6" s="907"/>
      <c r="B6" s="907"/>
      <c r="C6" s="907"/>
      <c r="D6" s="907"/>
      <c r="E6" s="908"/>
      <c r="F6" s="908"/>
      <c r="G6" s="909"/>
      <c r="H6" s="909"/>
      <c r="I6" s="873"/>
      <c r="J6" s="873"/>
      <c r="K6" s="873"/>
      <c r="L6" s="873"/>
      <c r="M6" s="873"/>
      <c r="N6" s="873"/>
    </row>
    <row r="7" spans="1:16" ht="48" x14ac:dyDescent="0.2">
      <c r="A7" s="849" t="s">
        <v>2178</v>
      </c>
      <c r="B7" s="849" t="s">
        <v>2923</v>
      </c>
      <c r="C7" s="849" t="s">
        <v>3948</v>
      </c>
      <c r="D7" s="849" t="s">
        <v>3949</v>
      </c>
      <c r="E7" s="849" t="s">
        <v>2184</v>
      </c>
      <c r="F7" s="849" t="s">
        <v>2240</v>
      </c>
      <c r="G7" s="849" t="s">
        <v>2186</v>
      </c>
      <c r="H7" s="849" t="s">
        <v>2187</v>
      </c>
      <c r="I7" s="849" t="s">
        <v>3950</v>
      </c>
      <c r="J7" s="849" t="s">
        <v>3921</v>
      </c>
      <c r="K7" s="849" t="s">
        <v>2207</v>
      </c>
      <c r="L7" s="849" t="s">
        <v>2241</v>
      </c>
      <c r="M7" s="849" t="s">
        <v>3951</v>
      </c>
      <c r="N7" s="849" t="s">
        <v>2242</v>
      </c>
      <c r="O7" s="849" t="s">
        <v>2192</v>
      </c>
    </row>
    <row r="8" spans="1:16" s="855" customFormat="1" ht="24" x14ac:dyDescent="0.2">
      <c r="A8" s="878">
        <v>1</v>
      </c>
      <c r="B8" s="878">
        <v>912</v>
      </c>
      <c r="C8" s="902"/>
      <c r="D8" s="902" t="s">
        <v>2902</v>
      </c>
      <c r="E8" s="883" t="s">
        <v>2905</v>
      </c>
      <c r="F8" s="878">
        <v>1380</v>
      </c>
      <c r="G8" s="878" t="s">
        <v>2179</v>
      </c>
      <c r="H8" s="903" t="s">
        <v>2598</v>
      </c>
      <c r="I8" s="910">
        <v>0</v>
      </c>
      <c r="J8" s="881">
        <v>1034811167</v>
      </c>
      <c r="K8" s="881">
        <v>983033870.40999997</v>
      </c>
      <c r="L8" s="881">
        <f t="shared" ref="L8:L27" si="0">+J8-K8</f>
        <v>51777296.590000033</v>
      </c>
      <c r="M8" s="934">
        <f t="shared" ref="M8:M27" si="1">+K8/J8</f>
        <v>0.94996449763863045</v>
      </c>
      <c r="N8" s="937">
        <v>2017</v>
      </c>
      <c r="O8" s="882" t="s">
        <v>2646</v>
      </c>
      <c r="P8" s="281"/>
    </row>
    <row r="9" spans="1:16" s="855" customFormat="1" ht="24" x14ac:dyDescent="0.2">
      <c r="A9" s="850">
        <v>2</v>
      </c>
      <c r="B9" s="850">
        <v>922</v>
      </c>
      <c r="C9" s="902"/>
      <c r="D9" s="902" t="s">
        <v>2277</v>
      </c>
      <c r="E9" s="851" t="s">
        <v>2906</v>
      </c>
      <c r="F9" s="850">
        <v>840</v>
      </c>
      <c r="G9" s="850" t="s">
        <v>2179</v>
      </c>
      <c r="H9" s="903" t="s">
        <v>2599</v>
      </c>
      <c r="I9" s="910">
        <v>8756230</v>
      </c>
      <c r="J9" s="881">
        <v>715000000</v>
      </c>
      <c r="K9" s="881">
        <v>619204370.50999999</v>
      </c>
      <c r="L9" s="914">
        <f>+J9-K9</f>
        <v>95795629.49000001</v>
      </c>
      <c r="M9" s="934">
        <f>+K9/J9</f>
        <v>0.86602009861538465</v>
      </c>
      <c r="N9" s="937">
        <v>2017</v>
      </c>
      <c r="O9" s="933" t="s">
        <v>2646</v>
      </c>
    </row>
    <row r="10" spans="1:16" s="855" customFormat="1" ht="24" x14ac:dyDescent="0.2">
      <c r="A10" s="878">
        <v>3</v>
      </c>
      <c r="B10" s="878">
        <v>926</v>
      </c>
      <c r="C10" s="850">
        <v>5301</v>
      </c>
      <c r="D10" s="878">
        <v>2015</v>
      </c>
      <c r="E10" s="851" t="s">
        <v>2576</v>
      </c>
      <c r="F10" s="850">
        <v>50</v>
      </c>
      <c r="G10" s="852" t="s">
        <v>2586</v>
      </c>
      <c r="H10" s="903" t="s">
        <v>2872</v>
      </c>
      <c r="I10" s="910">
        <v>166757.73000000001</v>
      </c>
      <c r="J10" s="881">
        <v>60750000</v>
      </c>
      <c r="K10" s="910">
        <v>59350765.600000001</v>
      </c>
      <c r="L10" s="914">
        <f t="shared" si="0"/>
        <v>1399234.3999999985</v>
      </c>
      <c r="M10" s="934">
        <f t="shared" si="1"/>
        <v>0.9769673349794239</v>
      </c>
      <c r="N10" s="927">
        <v>2017</v>
      </c>
      <c r="O10" s="882" t="s">
        <v>2646</v>
      </c>
    </row>
    <row r="11" spans="1:16" s="855" customFormat="1" ht="24" x14ac:dyDescent="0.2">
      <c r="A11" s="850">
        <v>4</v>
      </c>
      <c r="B11" s="850">
        <v>939</v>
      </c>
      <c r="C11" s="851"/>
      <c r="D11" s="902">
        <v>2013</v>
      </c>
      <c r="E11" s="851" t="s">
        <v>2579</v>
      </c>
      <c r="F11" s="850">
        <v>570</v>
      </c>
      <c r="G11" s="850" t="s">
        <v>2563</v>
      </c>
      <c r="H11" s="903" t="s">
        <v>2907</v>
      </c>
      <c r="I11" s="910">
        <v>0</v>
      </c>
      <c r="J11" s="881">
        <v>294918473.58999997</v>
      </c>
      <c r="K11" s="881">
        <v>293793712.20999998</v>
      </c>
      <c r="L11" s="914">
        <f t="shared" si="0"/>
        <v>1124761.3799999952</v>
      </c>
      <c r="M11" s="934">
        <f t="shared" si="1"/>
        <v>0.99618619557361587</v>
      </c>
      <c r="N11" s="927">
        <v>2017</v>
      </c>
      <c r="O11" s="933" t="s">
        <v>3952</v>
      </c>
    </row>
    <row r="12" spans="1:16" s="855" customFormat="1" x14ac:dyDescent="0.2">
      <c r="A12" s="878">
        <v>5</v>
      </c>
      <c r="B12" s="878">
        <v>945</v>
      </c>
      <c r="C12" s="851"/>
      <c r="D12" s="878">
        <v>2015</v>
      </c>
      <c r="E12" s="851" t="s">
        <v>2877</v>
      </c>
      <c r="F12" s="850">
        <v>1000</v>
      </c>
      <c r="G12" s="852" t="s">
        <v>2563</v>
      </c>
      <c r="H12" s="903" t="s">
        <v>3953</v>
      </c>
      <c r="I12" s="880">
        <v>41990475.100000001</v>
      </c>
      <c r="J12" s="881">
        <v>60079840.899999999</v>
      </c>
      <c r="K12" s="880">
        <v>57911657</v>
      </c>
      <c r="L12" s="914">
        <f t="shared" si="0"/>
        <v>2168183.8999999985</v>
      </c>
      <c r="M12" s="934">
        <f t="shared" si="1"/>
        <v>0.96391162380724615</v>
      </c>
      <c r="N12" s="927">
        <v>2017</v>
      </c>
      <c r="O12" s="933" t="s">
        <v>2944</v>
      </c>
    </row>
    <row r="13" spans="1:16" s="855" customFormat="1" ht="36" x14ac:dyDescent="0.2">
      <c r="A13" s="850">
        <v>6</v>
      </c>
      <c r="B13" s="878">
        <v>954</v>
      </c>
      <c r="C13" s="851"/>
      <c r="D13" s="878">
        <v>2016</v>
      </c>
      <c r="E13" s="851" t="s">
        <v>2879</v>
      </c>
      <c r="F13" s="850" t="s">
        <v>2229</v>
      </c>
      <c r="G13" s="852" t="s">
        <v>2586</v>
      </c>
      <c r="H13" s="903" t="s">
        <v>2880</v>
      </c>
      <c r="I13" s="910">
        <v>0</v>
      </c>
      <c r="J13" s="881">
        <v>8175000</v>
      </c>
      <c r="K13" s="910">
        <v>5600000</v>
      </c>
      <c r="L13" s="914">
        <f t="shared" si="0"/>
        <v>2575000</v>
      </c>
      <c r="M13" s="934">
        <f t="shared" si="1"/>
        <v>0.68501529051987764</v>
      </c>
      <c r="N13" s="927">
        <v>2016</v>
      </c>
      <c r="O13" s="933" t="s">
        <v>2646</v>
      </c>
    </row>
    <row r="14" spans="1:16" s="855" customFormat="1" ht="24" x14ac:dyDescent="0.2">
      <c r="A14" s="878">
        <v>7</v>
      </c>
      <c r="B14" s="878">
        <v>955</v>
      </c>
      <c r="C14" s="902"/>
      <c r="D14" s="902" t="s">
        <v>2884</v>
      </c>
      <c r="E14" s="851" t="s">
        <v>2908</v>
      </c>
      <c r="F14" s="850">
        <v>224.74</v>
      </c>
      <c r="G14" s="850" t="s">
        <v>2563</v>
      </c>
      <c r="H14" s="903" t="s">
        <v>3954</v>
      </c>
      <c r="I14" s="881">
        <v>0</v>
      </c>
      <c r="J14" s="881">
        <v>56130713.420000002</v>
      </c>
      <c r="K14" s="910">
        <v>55969438.189999998</v>
      </c>
      <c r="L14" s="881">
        <f t="shared" si="0"/>
        <v>161275.23000000417</v>
      </c>
      <c r="M14" s="934">
        <f t="shared" si="1"/>
        <v>0.99712679172998819</v>
      </c>
      <c r="N14" s="927">
        <v>2016</v>
      </c>
      <c r="O14" s="882" t="s">
        <v>3952</v>
      </c>
    </row>
    <row r="15" spans="1:16" s="855" customFormat="1" ht="24" x14ac:dyDescent="0.2">
      <c r="A15" s="850">
        <v>8</v>
      </c>
      <c r="B15" s="878">
        <v>959</v>
      </c>
      <c r="C15" s="851"/>
      <c r="D15" s="878">
        <v>2016</v>
      </c>
      <c r="E15" s="851" t="s">
        <v>2881</v>
      </c>
      <c r="F15" s="850">
        <v>200</v>
      </c>
      <c r="G15" s="852" t="s">
        <v>2586</v>
      </c>
      <c r="H15" s="903" t="s">
        <v>3955</v>
      </c>
      <c r="I15" s="910">
        <v>0</v>
      </c>
      <c r="J15" s="881">
        <v>106584694.59999999</v>
      </c>
      <c r="K15" s="910">
        <v>103584694.62</v>
      </c>
      <c r="L15" s="914">
        <f t="shared" si="0"/>
        <v>2999999.9799999893</v>
      </c>
      <c r="M15" s="934">
        <f t="shared" si="1"/>
        <v>0.97185336983646065</v>
      </c>
      <c r="N15" s="927">
        <v>2017</v>
      </c>
      <c r="O15" s="882" t="s">
        <v>2646</v>
      </c>
    </row>
    <row r="16" spans="1:16" s="855" customFormat="1" ht="24" x14ac:dyDescent="0.2">
      <c r="A16" s="878">
        <v>9</v>
      </c>
      <c r="B16" s="878">
        <v>962</v>
      </c>
      <c r="C16" s="851"/>
      <c r="D16" s="878">
        <v>2015</v>
      </c>
      <c r="E16" s="851" t="s">
        <v>2882</v>
      </c>
      <c r="F16" s="850">
        <v>112</v>
      </c>
      <c r="G16" s="852" t="s">
        <v>2586</v>
      </c>
      <c r="H16" s="903" t="s">
        <v>2883</v>
      </c>
      <c r="I16" s="910">
        <v>0</v>
      </c>
      <c r="J16" s="881">
        <v>65772100</v>
      </c>
      <c r="K16" s="910">
        <v>59692100</v>
      </c>
      <c r="L16" s="914">
        <f t="shared" si="0"/>
        <v>6080000</v>
      </c>
      <c r="M16" s="934">
        <f t="shared" si="1"/>
        <v>0.90755958833608774</v>
      </c>
      <c r="N16" s="927">
        <v>2017</v>
      </c>
      <c r="O16" s="882" t="s">
        <v>2646</v>
      </c>
    </row>
    <row r="17" spans="1:17" s="855" customFormat="1" ht="24" x14ac:dyDescent="0.2">
      <c r="A17" s="850">
        <v>10</v>
      </c>
      <c r="B17" s="901">
        <v>968</v>
      </c>
      <c r="C17" s="902"/>
      <c r="D17" s="902" t="s">
        <v>2902</v>
      </c>
      <c r="E17" s="851" t="s">
        <v>2921</v>
      </c>
      <c r="F17" s="850">
        <v>70</v>
      </c>
      <c r="G17" s="927" t="s">
        <v>2193</v>
      </c>
      <c r="H17" s="887" t="s">
        <v>2629</v>
      </c>
      <c r="I17" s="880">
        <v>0</v>
      </c>
      <c r="J17" s="910">
        <v>46576128.780000001</v>
      </c>
      <c r="K17" s="910">
        <v>43076128.779999994</v>
      </c>
      <c r="L17" s="913">
        <f t="shared" si="0"/>
        <v>3500000.0000000075</v>
      </c>
      <c r="M17" s="934">
        <f t="shared" si="1"/>
        <v>0.92485420983499766</v>
      </c>
      <c r="N17" s="927">
        <v>2015</v>
      </c>
      <c r="O17" s="938" t="s">
        <v>2944</v>
      </c>
    </row>
    <row r="18" spans="1:17" s="855" customFormat="1" x14ac:dyDescent="0.2">
      <c r="A18" s="878">
        <v>11</v>
      </c>
      <c r="B18" s="901">
        <v>973</v>
      </c>
      <c r="C18" s="902" t="s">
        <v>2630</v>
      </c>
      <c r="D18" s="902" t="s">
        <v>2884</v>
      </c>
      <c r="E18" s="851" t="s">
        <v>2636</v>
      </c>
      <c r="F18" s="850">
        <v>45</v>
      </c>
      <c r="G18" s="927" t="s">
        <v>2193</v>
      </c>
      <c r="H18" s="887" t="s">
        <v>2632</v>
      </c>
      <c r="I18" s="880">
        <v>0</v>
      </c>
      <c r="J18" s="880">
        <v>62237000</v>
      </c>
      <c r="K18" s="880">
        <v>51633999.950000003</v>
      </c>
      <c r="L18" s="913">
        <f t="shared" si="0"/>
        <v>10603000.049999997</v>
      </c>
      <c r="M18" s="934">
        <f t="shared" si="1"/>
        <v>0.82963510371643878</v>
      </c>
      <c r="N18" s="927">
        <v>2016</v>
      </c>
      <c r="O18" s="882" t="s">
        <v>2944</v>
      </c>
    </row>
    <row r="19" spans="1:17" s="855" customFormat="1" x14ac:dyDescent="0.2">
      <c r="A19" s="850">
        <v>12</v>
      </c>
      <c r="B19" s="901">
        <v>973</v>
      </c>
      <c r="C19" s="902" t="s">
        <v>2630</v>
      </c>
      <c r="D19" s="902" t="s">
        <v>2884</v>
      </c>
      <c r="E19" s="883" t="s">
        <v>2631</v>
      </c>
      <c r="F19" s="878">
        <v>20</v>
      </c>
      <c r="G19" s="937" t="s">
        <v>2193</v>
      </c>
      <c r="H19" s="887" t="s">
        <v>2632</v>
      </c>
      <c r="I19" s="910">
        <v>0</v>
      </c>
      <c r="J19" s="910">
        <v>43925000</v>
      </c>
      <c r="K19" s="910">
        <v>33117600</v>
      </c>
      <c r="L19" s="881">
        <f t="shared" si="0"/>
        <v>10807400</v>
      </c>
      <c r="M19" s="934">
        <f t="shared" si="1"/>
        <v>0.75395788275469555</v>
      </c>
      <c r="N19" s="937">
        <v>2016</v>
      </c>
      <c r="O19" s="882" t="s">
        <v>2944</v>
      </c>
    </row>
    <row r="20" spans="1:17" s="855" customFormat="1" ht="48" x14ac:dyDescent="0.2">
      <c r="A20" s="878">
        <v>13</v>
      </c>
      <c r="B20" s="901">
        <v>973</v>
      </c>
      <c r="C20" s="902" t="s">
        <v>2633</v>
      </c>
      <c r="D20" s="902" t="s">
        <v>2902</v>
      </c>
      <c r="E20" s="851" t="s">
        <v>2634</v>
      </c>
      <c r="F20" s="850">
        <v>272.54000000000002</v>
      </c>
      <c r="G20" s="927" t="s">
        <v>2193</v>
      </c>
      <c r="H20" s="887" t="s">
        <v>2635</v>
      </c>
      <c r="I20" s="880">
        <v>0</v>
      </c>
      <c r="J20" s="880">
        <v>22634549</v>
      </c>
      <c r="K20" s="880">
        <v>19600000</v>
      </c>
      <c r="L20" s="913">
        <f t="shared" si="0"/>
        <v>3034549</v>
      </c>
      <c r="M20" s="934">
        <f t="shared" si="1"/>
        <v>0.86593287102826744</v>
      </c>
      <c r="N20" s="927">
        <v>2016</v>
      </c>
      <c r="O20" s="882" t="s">
        <v>3956</v>
      </c>
    </row>
    <row r="21" spans="1:17" s="855" customFormat="1" ht="24" x14ac:dyDescent="0.2">
      <c r="A21" s="850">
        <v>14</v>
      </c>
      <c r="B21" s="901">
        <v>973</v>
      </c>
      <c r="C21" s="884" t="s">
        <v>3957</v>
      </c>
      <c r="D21" s="902" t="s">
        <v>2884</v>
      </c>
      <c r="E21" s="851" t="s">
        <v>3958</v>
      </c>
      <c r="F21" s="850">
        <v>5850</v>
      </c>
      <c r="G21" s="850" t="s">
        <v>2563</v>
      </c>
      <c r="H21" s="887" t="s">
        <v>3959</v>
      </c>
      <c r="I21" s="910">
        <v>0</v>
      </c>
      <c r="J21" s="910">
        <v>124950000</v>
      </c>
      <c r="K21" s="910">
        <v>98944575.419999987</v>
      </c>
      <c r="L21" s="910">
        <f>+J21-K21</f>
        <v>26005424.580000013</v>
      </c>
      <c r="M21" s="934">
        <f>+K21/J21</f>
        <v>0.79187335270108028</v>
      </c>
      <c r="N21" s="927">
        <v>2017</v>
      </c>
      <c r="O21" s="933" t="s">
        <v>2646</v>
      </c>
      <c r="P21" s="281"/>
    </row>
    <row r="22" spans="1:17" s="855" customFormat="1" ht="36" x14ac:dyDescent="0.2">
      <c r="A22" s="878">
        <v>15</v>
      </c>
      <c r="B22" s="878" t="s">
        <v>3960</v>
      </c>
      <c r="C22" s="884" t="s">
        <v>3961</v>
      </c>
      <c r="D22" s="878">
        <v>2015</v>
      </c>
      <c r="E22" s="851" t="s">
        <v>2885</v>
      </c>
      <c r="F22" s="850">
        <v>300</v>
      </c>
      <c r="G22" s="852" t="s">
        <v>2586</v>
      </c>
      <c r="H22" s="903" t="s">
        <v>2872</v>
      </c>
      <c r="I22" s="910">
        <v>0</v>
      </c>
      <c r="J22" s="881">
        <v>36672122</v>
      </c>
      <c r="K22" s="910">
        <v>36671372</v>
      </c>
      <c r="L22" s="881">
        <f t="shared" si="0"/>
        <v>750</v>
      </c>
      <c r="M22" s="934">
        <f t="shared" si="1"/>
        <v>0.99997954849735715</v>
      </c>
      <c r="N22" s="927">
        <v>2016</v>
      </c>
      <c r="O22" s="933" t="s">
        <v>2646</v>
      </c>
      <c r="P22" s="281"/>
      <c r="Q22" s="281"/>
    </row>
    <row r="23" spans="1:17" s="855" customFormat="1" ht="24" x14ac:dyDescent="0.2">
      <c r="A23" s="850">
        <v>16</v>
      </c>
      <c r="B23" s="850" t="s">
        <v>3962</v>
      </c>
      <c r="C23" s="884"/>
      <c r="D23" s="902" t="s">
        <v>2678</v>
      </c>
      <c r="E23" s="851" t="s">
        <v>3963</v>
      </c>
      <c r="F23" s="850">
        <v>380</v>
      </c>
      <c r="G23" s="850" t="s">
        <v>2586</v>
      </c>
      <c r="H23" s="903" t="s">
        <v>3964</v>
      </c>
      <c r="I23" s="880">
        <v>0</v>
      </c>
      <c r="J23" s="881">
        <v>33044950</v>
      </c>
      <c r="K23" s="910">
        <v>29408116.800000001</v>
      </c>
      <c r="L23" s="910">
        <f t="shared" si="0"/>
        <v>3636833.1999999993</v>
      </c>
      <c r="M23" s="934">
        <f t="shared" si="1"/>
        <v>0.88994284451935923</v>
      </c>
      <c r="N23" s="927">
        <v>2017</v>
      </c>
      <c r="O23" s="933" t="s">
        <v>3952</v>
      </c>
    </row>
    <row r="24" spans="1:17" s="855" customFormat="1" ht="60" x14ac:dyDescent="0.2">
      <c r="A24" s="878">
        <v>17</v>
      </c>
      <c r="B24" s="901" t="s">
        <v>3965</v>
      </c>
      <c r="C24" s="902"/>
      <c r="D24" s="902" t="s">
        <v>2277</v>
      </c>
      <c r="E24" s="851" t="s">
        <v>2915</v>
      </c>
      <c r="F24" s="850" t="s">
        <v>2229</v>
      </c>
      <c r="G24" s="927" t="s">
        <v>2563</v>
      </c>
      <c r="H24" s="887" t="s">
        <v>2916</v>
      </c>
      <c r="I24" s="910">
        <v>0</v>
      </c>
      <c r="J24" s="910">
        <v>24000000</v>
      </c>
      <c r="K24" s="910">
        <v>19244500</v>
      </c>
      <c r="L24" s="910">
        <f t="shared" si="0"/>
        <v>4755500</v>
      </c>
      <c r="M24" s="934">
        <f t="shared" si="1"/>
        <v>0.80185416666666665</v>
      </c>
      <c r="N24" s="927">
        <v>2016</v>
      </c>
      <c r="O24" s="939" t="s">
        <v>3966</v>
      </c>
    </row>
    <row r="25" spans="1:17" s="855" customFormat="1" ht="24" x14ac:dyDescent="0.2">
      <c r="A25" s="850">
        <v>18</v>
      </c>
      <c r="B25" s="878">
        <v>973</v>
      </c>
      <c r="C25" s="851"/>
      <c r="D25" s="878">
        <v>2016</v>
      </c>
      <c r="E25" s="851" t="s">
        <v>3967</v>
      </c>
      <c r="F25" s="850">
        <v>410</v>
      </c>
      <c r="G25" s="852" t="s">
        <v>2586</v>
      </c>
      <c r="H25" s="903" t="s">
        <v>3968</v>
      </c>
      <c r="I25" s="880">
        <v>0</v>
      </c>
      <c r="J25" s="881">
        <v>30000000</v>
      </c>
      <c r="K25" s="910">
        <v>28200000.001999997</v>
      </c>
      <c r="L25" s="910">
        <f t="shared" si="0"/>
        <v>1799999.9980000034</v>
      </c>
      <c r="M25" s="934">
        <f t="shared" si="1"/>
        <v>0.94000000006666651</v>
      </c>
      <c r="N25" s="927">
        <v>2017</v>
      </c>
      <c r="O25" s="882" t="s">
        <v>2646</v>
      </c>
    </row>
    <row r="26" spans="1:17" s="855" customFormat="1" ht="24" x14ac:dyDescent="0.2">
      <c r="A26" s="878">
        <v>19</v>
      </c>
      <c r="B26" s="901">
        <v>974</v>
      </c>
      <c r="C26" s="902"/>
      <c r="D26" s="902" t="s">
        <v>2902</v>
      </c>
      <c r="E26" s="851" t="s">
        <v>2917</v>
      </c>
      <c r="F26" s="850">
        <v>336</v>
      </c>
      <c r="G26" s="850" t="s">
        <v>2563</v>
      </c>
      <c r="H26" s="887" t="s">
        <v>2602</v>
      </c>
      <c r="I26" s="910">
        <v>0</v>
      </c>
      <c r="J26" s="910">
        <v>172100000</v>
      </c>
      <c r="K26" s="910">
        <v>163952175.28999996</v>
      </c>
      <c r="L26" s="910">
        <f t="shared" si="0"/>
        <v>8147824.7100000381</v>
      </c>
      <c r="M26" s="934">
        <f t="shared" si="1"/>
        <v>0.95265645142359068</v>
      </c>
      <c r="N26" s="927">
        <v>2016</v>
      </c>
      <c r="O26" s="882" t="s">
        <v>3952</v>
      </c>
    </row>
    <row r="27" spans="1:17" s="855" customFormat="1" ht="24" x14ac:dyDescent="0.2">
      <c r="A27" s="850">
        <v>20</v>
      </c>
      <c r="B27" s="901">
        <v>980</v>
      </c>
      <c r="C27" s="902"/>
      <c r="D27" s="902" t="s">
        <v>2918</v>
      </c>
      <c r="E27" s="851" t="s">
        <v>2231</v>
      </c>
      <c r="F27" s="850" t="s">
        <v>2229</v>
      </c>
      <c r="G27" s="927" t="s">
        <v>2193</v>
      </c>
      <c r="H27" s="887" t="s">
        <v>2232</v>
      </c>
      <c r="I27" s="910">
        <v>0</v>
      </c>
      <c r="J27" s="910">
        <v>68550000</v>
      </c>
      <c r="K27" s="910">
        <v>64251022.060000002</v>
      </c>
      <c r="L27" s="910">
        <f t="shared" si="0"/>
        <v>4298977.9399999976</v>
      </c>
      <c r="M27" s="934">
        <f t="shared" si="1"/>
        <v>0.93728697388767324</v>
      </c>
      <c r="N27" s="927">
        <v>2017</v>
      </c>
      <c r="O27" s="882" t="s">
        <v>3952</v>
      </c>
    </row>
    <row r="28" spans="1:17" s="855" customFormat="1" ht="24" x14ac:dyDescent="0.2">
      <c r="A28" s="878">
        <v>21</v>
      </c>
      <c r="B28" s="850">
        <v>996</v>
      </c>
      <c r="C28" s="884"/>
      <c r="D28" s="902">
        <v>2015</v>
      </c>
      <c r="E28" s="851" t="s">
        <v>2585</v>
      </c>
      <c r="F28" s="850">
        <v>50</v>
      </c>
      <c r="G28" s="850" t="s">
        <v>2586</v>
      </c>
      <c r="H28" s="903" t="s">
        <v>3969</v>
      </c>
      <c r="I28" s="910">
        <v>0</v>
      </c>
      <c r="J28" s="881">
        <v>41533334.799999997</v>
      </c>
      <c r="K28" s="910">
        <v>23079792.740000002</v>
      </c>
      <c r="L28" s="910">
        <f>+J28-K28</f>
        <v>18453542.059999995</v>
      </c>
      <c r="M28" s="934">
        <f>+K28/J28</f>
        <v>0.55569322451805636</v>
      </c>
      <c r="N28" s="915"/>
      <c r="O28" s="933" t="s">
        <v>2646</v>
      </c>
    </row>
    <row r="29" spans="1:17" x14ac:dyDescent="0.2">
      <c r="A29" s="282"/>
      <c r="E29" s="275"/>
    </row>
    <row r="30" spans="1:17" x14ac:dyDescent="0.2">
      <c r="E30" s="890" t="s">
        <v>2181</v>
      </c>
      <c r="F30" s="919">
        <f>SUM(F8:F28)</f>
        <v>12110.279999999999</v>
      </c>
      <c r="H30" s="890" t="s">
        <v>2181</v>
      </c>
      <c r="I30" s="893">
        <f>SUM(I8:I28)</f>
        <v>50913462.829999998</v>
      </c>
      <c r="J30" s="921">
        <f>SUM(J8:J28)</f>
        <v>3108445074.0900002</v>
      </c>
      <c r="K30" s="921">
        <f>SUM(K8:K28)</f>
        <v>2849319891.5819998</v>
      </c>
      <c r="L30" s="921">
        <f>SUM(L8:L28)</f>
        <v>259125182.50800008</v>
      </c>
    </row>
    <row r="31" spans="1:17" x14ac:dyDescent="0.2">
      <c r="E31" s="275"/>
      <c r="F31" s="275"/>
    </row>
    <row r="32" spans="1:17" x14ac:dyDescent="0.2">
      <c r="E32" s="275"/>
      <c r="F32" s="275"/>
    </row>
    <row r="33" spans="1:15" x14ac:dyDescent="0.2">
      <c r="A33" s="1117" t="s">
        <v>3970</v>
      </c>
      <c r="B33" s="1117"/>
      <c r="C33" s="1117"/>
      <c r="D33" s="1117"/>
      <c r="E33" s="1117"/>
      <c r="F33" s="275"/>
      <c r="G33" s="276"/>
    </row>
    <row r="34" spans="1:15" x14ac:dyDescent="0.2">
      <c r="E34" s="275"/>
      <c r="F34" s="275"/>
    </row>
    <row r="35" spans="1:15" ht="48" x14ac:dyDescent="0.2">
      <c r="A35" s="849" t="s">
        <v>2178</v>
      </c>
      <c r="B35" s="849" t="s">
        <v>2923</v>
      </c>
      <c r="C35" s="849" t="s">
        <v>3948</v>
      </c>
      <c r="D35" s="849" t="s">
        <v>3949</v>
      </c>
      <c r="E35" s="849" t="s">
        <v>2184</v>
      </c>
      <c r="F35" s="849" t="s">
        <v>2240</v>
      </c>
      <c r="G35" s="849" t="s">
        <v>2186</v>
      </c>
      <c r="H35" s="849" t="s">
        <v>2187</v>
      </c>
      <c r="I35" s="849" t="s">
        <v>2206</v>
      </c>
      <c r="J35" s="849" t="s">
        <v>3921</v>
      </c>
      <c r="K35" s="849" t="s">
        <v>2207</v>
      </c>
      <c r="L35" s="849" t="s">
        <v>2241</v>
      </c>
      <c r="M35" s="849" t="s">
        <v>2620</v>
      </c>
      <c r="N35" s="849" t="s">
        <v>2242</v>
      </c>
      <c r="O35" s="849" t="s">
        <v>2192</v>
      </c>
    </row>
    <row r="36" spans="1:15" s="855" customFormat="1" ht="24" x14ac:dyDescent="0.2">
      <c r="A36" s="850">
        <v>1</v>
      </c>
      <c r="B36" s="901">
        <v>973</v>
      </c>
      <c r="C36" s="902" t="s">
        <v>3971</v>
      </c>
      <c r="D36" s="884">
        <v>2012</v>
      </c>
      <c r="E36" s="851" t="s">
        <v>2604</v>
      </c>
      <c r="F36" s="850">
        <v>900</v>
      </c>
      <c r="G36" s="927" t="s">
        <v>2605</v>
      </c>
      <c r="H36" s="887" t="s">
        <v>3972</v>
      </c>
      <c r="I36" s="886">
        <v>0</v>
      </c>
      <c r="J36" s="925">
        <v>979555</v>
      </c>
      <c r="K36" s="925">
        <v>880314.33</v>
      </c>
      <c r="L36" s="925">
        <f>+J36-K36</f>
        <v>99240.670000000042</v>
      </c>
      <c r="M36" s="934">
        <f>+K36/J36</f>
        <v>0.89868800628856982</v>
      </c>
      <c r="N36" s="927">
        <v>2017</v>
      </c>
      <c r="O36" s="915" t="s">
        <v>2925</v>
      </c>
    </row>
    <row r="37" spans="1:15" s="855" customFormat="1" x14ac:dyDescent="0.2">
      <c r="A37" s="850">
        <v>2</v>
      </c>
      <c r="B37" s="850">
        <v>973</v>
      </c>
      <c r="C37" s="940" t="s">
        <v>3940</v>
      </c>
      <c r="D37" s="850">
        <v>2014</v>
      </c>
      <c r="E37" s="851" t="s">
        <v>2920</v>
      </c>
      <c r="F37" s="850">
        <v>13000</v>
      </c>
      <c r="G37" s="850" t="s">
        <v>2605</v>
      </c>
      <c r="H37" s="850" t="s">
        <v>3973</v>
      </c>
      <c r="I37" s="886">
        <v>0</v>
      </c>
      <c r="J37" s="925">
        <v>458560.03</v>
      </c>
      <c r="K37" s="925">
        <v>380781.4</v>
      </c>
      <c r="L37" s="925">
        <f>+J37-K37</f>
        <v>77778.63</v>
      </c>
      <c r="M37" s="934">
        <f>+K37/J37</f>
        <v>0.83038506430662962</v>
      </c>
      <c r="N37" s="927">
        <v>2017</v>
      </c>
      <c r="O37" s="915" t="s">
        <v>2925</v>
      </c>
    </row>
    <row r="38" spans="1:15" x14ac:dyDescent="0.2">
      <c r="E38" s="275"/>
      <c r="F38" s="275"/>
    </row>
    <row r="39" spans="1:15" x14ac:dyDescent="0.2">
      <c r="E39" s="890" t="s">
        <v>2181</v>
      </c>
      <c r="F39" s="919">
        <f>SUM(F36)</f>
        <v>900</v>
      </c>
      <c r="H39" s="890" t="s">
        <v>2181</v>
      </c>
      <c r="I39" s="893">
        <f>SUM(I36:I37)</f>
        <v>0</v>
      </c>
      <c r="J39" s="921">
        <f>SUM(J36:J37)</f>
        <v>1438115.03</v>
      </c>
      <c r="K39" s="921">
        <f>SUM(K36:K37)</f>
        <v>1261095.73</v>
      </c>
      <c r="L39" s="921">
        <f>SUM(L36:L37)</f>
        <v>177019.30000000005</v>
      </c>
    </row>
    <row r="41" spans="1:15" x14ac:dyDescent="0.2">
      <c r="C41" s="295" t="s">
        <v>2655</v>
      </c>
      <c r="D41" s="295"/>
      <c r="E41" s="275"/>
      <c r="F41" s="275"/>
      <c r="H41" s="276"/>
    </row>
    <row r="42" spans="1:15" x14ac:dyDescent="0.2">
      <c r="C42" s="1127" t="s">
        <v>3974</v>
      </c>
      <c r="D42" s="1127"/>
      <c r="E42" s="1127"/>
      <c r="F42" s="1127"/>
      <c r="G42" s="1127"/>
      <c r="H42" s="1127"/>
      <c r="I42" s="1127"/>
      <c r="J42" s="1127"/>
      <c r="K42" s="1127"/>
      <c r="L42" s="1127"/>
      <c r="M42" s="1127"/>
      <c r="N42" s="1127"/>
    </row>
    <row r="43" spans="1:15" x14ac:dyDescent="0.2">
      <c r="C43" s="1127"/>
      <c r="D43" s="1127"/>
      <c r="E43" s="1127"/>
      <c r="F43" s="1127"/>
      <c r="G43" s="1127"/>
      <c r="H43" s="1127"/>
      <c r="I43" s="1127"/>
      <c r="J43" s="1127"/>
      <c r="K43" s="1127"/>
      <c r="L43" s="1127"/>
      <c r="M43" s="1127"/>
      <c r="N43" s="1127"/>
    </row>
  </sheetData>
  <mergeCells count="4">
    <mergeCell ref="A33:E33"/>
    <mergeCell ref="C42:N43"/>
    <mergeCell ref="A5:E5"/>
    <mergeCell ref="A1:O3"/>
  </mergeCells>
  <phoneticPr fontId="7" type="noConversion"/>
  <conditionalFormatting sqref="O14 O26 O18 O20">
    <cfRule type="expression" dxfId="11" priority="7" stopIfTrue="1">
      <formula>#REF! &lt;= (25% *#REF!)</formula>
    </cfRule>
  </conditionalFormatting>
  <conditionalFormatting sqref="O24">
    <cfRule type="expression" dxfId="10" priority="6" stopIfTrue="1">
      <formula>#REF! &lt;= (25% *#REF!)</formula>
    </cfRule>
  </conditionalFormatting>
  <conditionalFormatting sqref="O10">
    <cfRule type="expression" dxfId="9" priority="5" stopIfTrue="1">
      <formula>#REF! &lt;= (25% *#REF!)</formula>
    </cfRule>
  </conditionalFormatting>
  <conditionalFormatting sqref="O25 O12 O15:O16">
    <cfRule type="expression" dxfId="8" priority="4" stopIfTrue="1">
      <formula>#REF! &lt;= (25% *#REF!)</formula>
    </cfRule>
  </conditionalFormatting>
  <conditionalFormatting sqref="O27">
    <cfRule type="expression" dxfId="7" priority="3" stopIfTrue="1">
      <formula>#REF! &lt;= (25% *#REF!)</formula>
    </cfRule>
  </conditionalFormatting>
  <conditionalFormatting sqref="O8">
    <cfRule type="expression" dxfId="6" priority="2" stopIfTrue="1">
      <formula>#REF! &lt;= (25% *#REF!)</formula>
    </cfRule>
  </conditionalFormatting>
  <conditionalFormatting sqref="O19">
    <cfRule type="expression" dxfId="5" priority="1" stopIfTrue="1">
      <formula>#REF! &lt;= (25% *#REF!)</formula>
    </cfRule>
  </conditionalFormatting>
  <hyperlinks>
    <hyperlink ref="E17" location="'68'!A1" display="REMD. Y RECUP. CIUDAD NEOTRO, HUMEDO GOLF"/>
  </hyperlinks>
  <pageMargins left="0.55118110236220474" right="0.15748031496062992" top="0.86614173228346458" bottom="0.6692913385826772" header="0.31496062992125984" footer="0.31496062992125984"/>
  <pageSetup paperSize="9" scale="55" orientation="landscape" r:id="rId1"/>
  <headerFooter>
    <oddFooter>&amp;C&amp;P</oddFooter>
  </headerFooter>
  <drawing r:id="rId2"/>
  <legacy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9"/>
  <sheetViews>
    <sheetView topLeftCell="A10" workbookViewId="0">
      <selection activeCell="I35" sqref="I35"/>
    </sheetView>
  </sheetViews>
  <sheetFormatPr baseColWidth="10" defaultColWidth="10.85546875" defaultRowHeight="12.75" x14ac:dyDescent="0.2"/>
  <cols>
    <col min="1" max="7" width="10.85546875" style="28"/>
    <col min="8" max="8" width="10.85546875" style="28" customWidth="1"/>
    <col min="9" max="16384" width="10.85546875" style="28"/>
  </cols>
  <sheetData>
    <row r="19" spans="1:1" x14ac:dyDescent="0.2">
      <c r="A19" s="31"/>
    </row>
  </sheetData>
  <phoneticPr fontId="7" type="noConversion"/>
  <pageMargins left="0.98425196850393704" right="0.70866141732283472" top="1.299212598425197" bottom="0.74803149606299213" header="0.31496062992125984" footer="0.31496062992125984"/>
  <pageSetup paperSize="9" scale="76" orientation="portrait" r:id="rId1"/>
  <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Z120"/>
  <sheetViews>
    <sheetView workbookViewId="0">
      <selection activeCell="A10" sqref="A10"/>
    </sheetView>
  </sheetViews>
  <sheetFormatPr baseColWidth="10" defaultColWidth="11.42578125" defaultRowHeight="12" x14ac:dyDescent="0.2"/>
  <cols>
    <col min="1" max="1" width="2.85546875" style="275" customWidth="1"/>
    <col min="2" max="4" width="11.7109375" style="275" bestFit="1" customWidth="1"/>
    <col min="5" max="5" width="37.5703125" style="275" customWidth="1"/>
    <col min="6" max="6" width="10.140625" style="275" bestFit="1" customWidth="1"/>
    <col min="7" max="7" width="17.5703125" style="275" customWidth="1"/>
    <col min="8" max="8" width="26" style="275" customWidth="1"/>
    <col min="9" max="9" width="16.85546875" style="275" customWidth="1"/>
    <col min="10" max="10" width="20.28515625" style="738" customWidth="1"/>
    <col min="11" max="11" width="10.140625" style="275" bestFit="1" customWidth="1"/>
    <col min="12" max="12" width="13.42578125" style="275" customWidth="1"/>
    <col min="13" max="13" width="14" style="275" customWidth="1"/>
    <col min="14" max="14" width="19.5703125" style="275" customWidth="1"/>
    <col min="15" max="16384" width="11.42578125" style="275"/>
  </cols>
  <sheetData>
    <row r="1" spans="1:11" x14ac:dyDescent="0.2">
      <c r="A1" s="1116" t="s">
        <v>3975</v>
      </c>
      <c r="B1" s="1116"/>
      <c r="C1" s="1116"/>
      <c r="D1" s="1116"/>
      <c r="E1" s="1116"/>
      <c r="F1" s="1116"/>
      <c r="G1" s="1116"/>
      <c r="H1" s="1116"/>
      <c r="I1" s="1116"/>
      <c r="J1" s="1116"/>
      <c r="K1" s="1116"/>
    </row>
    <row r="2" spans="1:11" x14ac:dyDescent="0.2">
      <c r="A2" s="1116"/>
      <c r="B2" s="1116"/>
      <c r="C2" s="1116"/>
      <c r="D2" s="1116"/>
      <c r="E2" s="1116"/>
      <c r="F2" s="1116"/>
      <c r="G2" s="1116"/>
      <c r="H2" s="1116"/>
      <c r="I2" s="1116"/>
      <c r="J2" s="1116"/>
      <c r="K2" s="1116"/>
    </row>
    <row r="3" spans="1:11" x14ac:dyDescent="0.2">
      <c r="A3" s="1116"/>
      <c r="B3" s="1116"/>
      <c r="C3" s="1116"/>
      <c r="D3" s="1116"/>
      <c r="E3" s="1116"/>
      <c r="F3" s="1116"/>
      <c r="G3" s="1116"/>
      <c r="H3" s="1116"/>
      <c r="I3" s="1116"/>
      <c r="J3" s="1116"/>
      <c r="K3" s="1116"/>
    </row>
    <row r="4" spans="1:11" x14ac:dyDescent="0.2">
      <c r="E4" s="276"/>
      <c r="F4" s="276"/>
    </row>
    <row r="5" spans="1:11" x14ac:dyDescent="0.2">
      <c r="A5" s="296" t="s">
        <v>3976</v>
      </c>
      <c r="B5" s="296"/>
      <c r="C5" s="296"/>
      <c r="D5" s="296"/>
      <c r="E5" s="296"/>
      <c r="F5" s="855"/>
      <c r="G5" s="865"/>
      <c r="H5" s="855"/>
    </row>
    <row r="6" spans="1:11" x14ac:dyDescent="0.2">
      <c r="A6" s="288"/>
      <c r="B6" s="288"/>
      <c r="C6" s="288"/>
      <c r="D6" s="288"/>
      <c r="E6" s="289"/>
      <c r="F6" s="290"/>
      <c r="G6" s="291"/>
      <c r="H6" s="291"/>
      <c r="I6" s="291"/>
      <c r="J6" s="941"/>
      <c r="K6" s="291"/>
    </row>
    <row r="7" spans="1:11" ht="36" x14ac:dyDescent="0.2">
      <c r="A7" s="849" t="s">
        <v>2178</v>
      </c>
      <c r="B7" s="849" t="s">
        <v>2923</v>
      </c>
      <c r="C7" s="849" t="s">
        <v>3948</v>
      </c>
      <c r="D7" s="849" t="s">
        <v>3949</v>
      </c>
      <c r="E7" s="849" t="s">
        <v>2184</v>
      </c>
      <c r="F7" s="849" t="s">
        <v>2240</v>
      </c>
      <c r="G7" s="849" t="s">
        <v>2186</v>
      </c>
      <c r="H7" s="849" t="s">
        <v>2187</v>
      </c>
      <c r="I7" s="849" t="s">
        <v>2207</v>
      </c>
      <c r="J7" s="849" t="s">
        <v>2192</v>
      </c>
      <c r="K7" s="849" t="s">
        <v>2242</v>
      </c>
    </row>
    <row r="8" spans="1:11" s="855" customFormat="1" ht="24" x14ac:dyDescent="0.2">
      <c r="A8" s="850">
        <v>14</v>
      </c>
      <c r="B8" s="850">
        <v>973</v>
      </c>
      <c r="C8" s="940">
        <v>1011</v>
      </c>
      <c r="D8" s="916">
        <v>2014</v>
      </c>
      <c r="E8" s="851" t="s">
        <v>2583</v>
      </c>
      <c r="F8" s="850">
        <v>50</v>
      </c>
      <c r="G8" s="850" t="s">
        <v>2563</v>
      </c>
      <c r="H8" s="917" t="s">
        <v>2874</v>
      </c>
      <c r="I8" s="910">
        <v>40986449.280000001</v>
      </c>
      <c r="J8" s="910" t="s">
        <v>3977</v>
      </c>
      <c r="K8" s="927">
        <v>2017</v>
      </c>
    </row>
    <row r="9" spans="1:11" s="855" customFormat="1" x14ac:dyDescent="0.2">
      <c r="A9" s="282"/>
      <c r="B9" s="282"/>
      <c r="C9" s="942"/>
      <c r="D9" s="943"/>
      <c r="E9" s="890" t="s">
        <v>2181</v>
      </c>
      <c r="F9" s="919">
        <f>SUM(F8)</f>
        <v>50</v>
      </c>
      <c r="G9" s="275"/>
      <c r="H9" s="890" t="s">
        <v>2181</v>
      </c>
      <c r="I9" s="921">
        <f>SUM(I8)</f>
        <v>40986449.280000001</v>
      </c>
      <c r="J9" s="297"/>
      <c r="K9" s="944"/>
    </row>
    <row r="10" spans="1:11" s="855" customFormat="1" x14ac:dyDescent="0.2">
      <c r="A10" s="282"/>
      <c r="B10" s="282"/>
      <c r="C10" s="942"/>
      <c r="D10" s="943"/>
      <c r="E10" s="283"/>
      <c r="F10" s="282"/>
      <c r="G10" s="282"/>
      <c r="H10" s="945"/>
      <c r="I10" s="297"/>
      <c r="J10" s="297"/>
      <c r="K10" s="944"/>
    </row>
    <row r="11" spans="1:11" s="855" customFormat="1" ht="36" x14ac:dyDescent="0.2">
      <c r="A11" s="849" t="s">
        <v>2178</v>
      </c>
      <c r="B11" s="849" t="s">
        <v>2923</v>
      </c>
      <c r="C11" s="849" t="s">
        <v>3948</v>
      </c>
      <c r="D11" s="849" t="s">
        <v>3949</v>
      </c>
      <c r="E11" s="849" t="s">
        <v>2184</v>
      </c>
      <c r="F11" s="849" t="s">
        <v>2240</v>
      </c>
      <c r="G11" s="849" t="s">
        <v>2186</v>
      </c>
      <c r="H11" s="849" t="s">
        <v>2187</v>
      </c>
      <c r="I11" s="849" t="s">
        <v>2207</v>
      </c>
      <c r="J11" s="849" t="s">
        <v>2192</v>
      </c>
      <c r="K11" s="849" t="s">
        <v>2242</v>
      </c>
    </row>
    <row r="12" spans="1:11" s="855" customFormat="1" ht="24" x14ac:dyDescent="0.2">
      <c r="A12" s="850">
        <v>2</v>
      </c>
      <c r="B12" s="850">
        <v>973</v>
      </c>
      <c r="C12" s="850">
        <v>965</v>
      </c>
      <c r="D12" s="850">
        <v>2014</v>
      </c>
      <c r="E12" s="851" t="s">
        <v>2895</v>
      </c>
      <c r="F12" s="850">
        <v>19686</v>
      </c>
      <c r="G12" s="852" t="s">
        <v>2893</v>
      </c>
      <c r="H12" s="850" t="s">
        <v>2894</v>
      </c>
      <c r="I12" s="913">
        <v>3061053044.7399998</v>
      </c>
      <c r="J12" s="915"/>
      <c r="K12" s="927">
        <v>2017</v>
      </c>
    </row>
    <row r="13" spans="1:11" x14ac:dyDescent="0.2">
      <c r="A13" s="288"/>
      <c r="B13" s="288"/>
      <c r="C13" s="288"/>
      <c r="D13" s="288"/>
      <c r="E13" s="890" t="s">
        <v>2181</v>
      </c>
      <c r="F13" s="919">
        <f>SUM(F12)</f>
        <v>19686</v>
      </c>
      <c r="H13" s="890" t="s">
        <v>2181</v>
      </c>
      <c r="I13" s="921">
        <f>SUM(I12)</f>
        <v>3061053044.7399998</v>
      </c>
      <c r="J13" s="941"/>
      <c r="K13" s="291"/>
    </row>
    <row r="14" spans="1:11" x14ac:dyDescent="0.2">
      <c r="A14" s="288"/>
      <c r="B14" s="288"/>
      <c r="C14" s="288"/>
      <c r="D14" s="288"/>
      <c r="E14" s="289"/>
      <c r="F14" s="290"/>
      <c r="G14" s="291"/>
      <c r="H14" s="291"/>
      <c r="I14" s="291"/>
      <c r="J14" s="941"/>
      <c r="K14" s="291"/>
    </row>
    <row r="15" spans="1:11" ht="36" x14ac:dyDescent="0.2">
      <c r="A15" s="849" t="s">
        <v>2178</v>
      </c>
      <c r="B15" s="849" t="s">
        <v>2923</v>
      </c>
      <c r="C15" s="849" t="s">
        <v>3948</v>
      </c>
      <c r="D15" s="849" t="s">
        <v>3949</v>
      </c>
      <c r="E15" s="849" t="s">
        <v>2184</v>
      </c>
      <c r="F15" s="849" t="s">
        <v>2240</v>
      </c>
      <c r="G15" s="849" t="s">
        <v>2186</v>
      </c>
      <c r="H15" s="849" t="s">
        <v>2187</v>
      </c>
      <c r="I15" s="849" t="s">
        <v>2207</v>
      </c>
      <c r="J15" s="849" t="s">
        <v>2192</v>
      </c>
      <c r="K15" s="849" t="s">
        <v>2242</v>
      </c>
    </row>
    <row r="16" spans="1:11" ht="24" x14ac:dyDescent="0.2">
      <c r="A16" s="850">
        <v>1</v>
      </c>
      <c r="B16" s="901">
        <v>900</v>
      </c>
      <c r="C16" s="902"/>
      <c r="D16" s="902" t="s">
        <v>2277</v>
      </c>
      <c r="E16" s="851" t="s">
        <v>2623</v>
      </c>
      <c r="F16" s="850" t="s">
        <v>2229</v>
      </c>
      <c r="G16" s="927" t="s">
        <v>2201</v>
      </c>
      <c r="H16" s="887" t="s">
        <v>2924</v>
      </c>
      <c r="I16" s="880">
        <v>5700000</v>
      </c>
      <c r="J16" s="946" t="s">
        <v>2925</v>
      </c>
      <c r="K16" s="879">
        <v>2016</v>
      </c>
    </row>
    <row r="17" spans="1:52" s="855" customFormat="1" ht="96" x14ac:dyDescent="0.2">
      <c r="A17" s="850">
        <v>2</v>
      </c>
      <c r="B17" s="901">
        <v>900</v>
      </c>
      <c r="C17" s="902"/>
      <c r="D17" s="902" t="s">
        <v>2884</v>
      </c>
      <c r="E17" s="851" t="s">
        <v>2621</v>
      </c>
      <c r="F17" s="850" t="s">
        <v>2229</v>
      </c>
      <c r="G17" s="927" t="s">
        <v>2193</v>
      </c>
      <c r="H17" s="887" t="s">
        <v>2622</v>
      </c>
      <c r="I17" s="910">
        <v>119938281.25</v>
      </c>
      <c r="J17" s="947" t="s">
        <v>2933</v>
      </c>
      <c r="K17" s="850">
        <v>2016</v>
      </c>
      <c r="L17" s="275"/>
      <c r="M17" s="275"/>
      <c r="N17" s="275"/>
      <c r="O17" s="275"/>
      <c r="P17" s="275"/>
      <c r="Q17" s="275"/>
      <c r="R17" s="275"/>
      <c r="S17" s="281"/>
    </row>
    <row r="18" spans="1:52" s="855" customFormat="1" ht="24" x14ac:dyDescent="0.2">
      <c r="A18" s="850">
        <v>3</v>
      </c>
      <c r="B18" s="850">
        <v>904</v>
      </c>
      <c r="C18" s="884" t="s">
        <v>2901</v>
      </c>
      <c r="D18" s="902" t="s">
        <v>2902</v>
      </c>
      <c r="E18" s="851" t="s">
        <v>2903</v>
      </c>
      <c r="F18" s="850">
        <v>227</v>
      </c>
      <c r="G18" s="850" t="s">
        <v>2563</v>
      </c>
      <c r="H18" s="903" t="s">
        <v>2904</v>
      </c>
      <c r="I18" s="881">
        <v>67079619.230000012</v>
      </c>
      <c r="J18" s="881" t="s">
        <v>2933</v>
      </c>
      <c r="K18" s="850">
        <v>2016</v>
      </c>
      <c r="L18" s="275"/>
      <c r="M18" s="275"/>
      <c r="N18" s="275"/>
      <c r="O18" s="275"/>
      <c r="P18" s="275"/>
      <c r="Q18" s="281"/>
      <c r="R18" s="275"/>
      <c r="S18" s="275"/>
      <c r="T18" s="275"/>
      <c r="U18" s="275"/>
    </row>
    <row r="19" spans="1:52" ht="24" x14ac:dyDescent="0.2">
      <c r="A19" s="850">
        <v>4</v>
      </c>
      <c r="B19" s="901">
        <v>973</v>
      </c>
      <c r="C19" s="902"/>
      <c r="D19" s="902" t="s">
        <v>2884</v>
      </c>
      <c r="E19" s="851" t="s">
        <v>2639</v>
      </c>
      <c r="F19" s="850">
        <v>4050</v>
      </c>
      <c r="G19" s="927" t="s">
        <v>2193</v>
      </c>
      <c r="H19" s="887" t="s">
        <v>2640</v>
      </c>
      <c r="I19" s="880">
        <v>95998000</v>
      </c>
      <c r="J19" s="910" t="s">
        <v>2933</v>
      </c>
      <c r="K19" s="879">
        <v>2016</v>
      </c>
    </row>
    <row r="20" spans="1:52" x14ac:dyDescent="0.2">
      <c r="A20" s="850">
        <v>5</v>
      </c>
      <c r="B20" s="948">
        <v>973</v>
      </c>
      <c r="C20" s="916"/>
      <c r="D20" s="916" t="s">
        <v>2884</v>
      </c>
      <c r="E20" s="851" t="s">
        <v>2641</v>
      </c>
      <c r="F20" s="850">
        <v>495</v>
      </c>
      <c r="G20" s="927" t="s">
        <v>2642</v>
      </c>
      <c r="H20" s="949" t="s">
        <v>2229</v>
      </c>
      <c r="I20" s="950">
        <v>382083143.07999998</v>
      </c>
      <c r="J20" s="910" t="s">
        <v>2933</v>
      </c>
      <c r="K20" s="879">
        <v>2016</v>
      </c>
    </row>
    <row r="21" spans="1:52" s="855" customFormat="1" x14ac:dyDescent="0.2">
      <c r="A21" s="850">
        <v>6</v>
      </c>
      <c r="B21" s="901" t="s">
        <v>2216</v>
      </c>
      <c r="C21" s="902"/>
      <c r="D21" s="902" t="s">
        <v>2909</v>
      </c>
      <c r="E21" s="851" t="s">
        <v>2217</v>
      </c>
      <c r="F21" s="850">
        <v>800</v>
      </c>
      <c r="G21" s="927" t="s">
        <v>2210</v>
      </c>
      <c r="H21" s="887" t="s">
        <v>2218</v>
      </c>
      <c r="I21" s="880">
        <f>756933246.28+3909999.87</f>
        <v>760843246.14999998</v>
      </c>
      <c r="J21" s="910" t="s">
        <v>2925</v>
      </c>
      <c r="K21" s="879">
        <v>2016</v>
      </c>
      <c r="L21" s="275"/>
      <c r="M21" s="275"/>
      <c r="N21" s="275"/>
      <c r="O21" s="275"/>
      <c r="P21" s="275"/>
    </row>
    <row r="22" spans="1:52" s="855" customFormat="1" ht="24" x14ac:dyDescent="0.2">
      <c r="A22" s="850">
        <v>7</v>
      </c>
      <c r="B22" s="901">
        <v>973</v>
      </c>
      <c r="C22" s="884" t="s">
        <v>2910</v>
      </c>
      <c r="D22" s="902" t="s">
        <v>2277</v>
      </c>
      <c r="E22" s="851" t="s">
        <v>2911</v>
      </c>
      <c r="F22" s="850">
        <v>405</v>
      </c>
      <c r="G22" s="850" t="s">
        <v>2193</v>
      </c>
      <c r="H22" s="887" t="s">
        <v>2912</v>
      </c>
      <c r="I22" s="910">
        <v>9502009.6500000004</v>
      </c>
      <c r="J22" s="910" t="s">
        <v>2933</v>
      </c>
      <c r="K22" s="879">
        <v>2016</v>
      </c>
      <c r="L22" s="275"/>
      <c r="M22" s="275"/>
      <c r="N22" s="275"/>
      <c r="O22" s="275"/>
      <c r="P22" s="275"/>
    </row>
    <row r="23" spans="1:52" s="855" customFormat="1" x14ac:dyDescent="0.2">
      <c r="A23" s="850">
        <v>8</v>
      </c>
      <c r="B23" s="901">
        <v>983</v>
      </c>
      <c r="C23" s="902"/>
      <c r="D23" s="902" t="s">
        <v>2902</v>
      </c>
      <c r="E23" s="851" t="s">
        <v>2919</v>
      </c>
      <c r="F23" s="850">
        <v>169.2</v>
      </c>
      <c r="G23" s="850" t="s">
        <v>2563</v>
      </c>
      <c r="H23" s="887" t="s">
        <v>2602</v>
      </c>
      <c r="I23" s="910">
        <v>109331846.77</v>
      </c>
      <c r="J23" s="910" t="s">
        <v>2933</v>
      </c>
      <c r="K23" s="927">
        <v>2016</v>
      </c>
      <c r="L23" s="297"/>
      <c r="M23" s="297"/>
      <c r="N23" s="298"/>
      <c r="O23" s="281"/>
      <c r="P23" s="282"/>
      <c r="Q23" s="282"/>
      <c r="R23" s="300"/>
    </row>
    <row r="24" spans="1:52" x14ac:dyDescent="0.2">
      <c r="A24" s="276"/>
      <c r="B24" s="276"/>
      <c r="C24" s="276"/>
      <c r="D24" s="276"/>
      <c r="E24" s="890" t="s">
        <v>2181</v>
      </c>
      <c r="F24" s="919">
        <f>SUM(F16:F23)</f>
        <v>6146.2</v>
      </c>
      <c r="H24" s="890" t="s">
        <v>2181</v>
      </c>
      <c r="I24" s="921">
        <f>SUM(I16:I23)</f>
        <v>1550476146.1300001</v>
      </c>
    </row>
    <row r="25" spans="1:52" x14ac:dyDescent="0.2">
      <c r="A25" s="276"/>
      <c r="B25" s="276"/>
      <c r="C25" s="276"/>
      <c r="D25" s="276"/>
      <c r="E25" s="738"/>
      <c r="F25" s="738"/>
      <c r="G25" s="738"/>
      <c r="H25" s="738"/>
      <c r="I25" s="738"/>
    </row>
    <row r="26" spans="1:52" x14ac:dyDescent="0.2">
      <c r="A26" s="278" t="s">
        <v>3978</v>
      </c>
      <c r="B26" s="278"/>
      <c r="C26" s="896"/>
      <c r="D26" s="896"/>
      <c r="E26" s="896"/>
      <c r="F26" s="278"/>
      <c r="G26" s="855"/>
      <c r="H26" s="922"/>
      <c r="I26" s="294"/>
      <c r="J26" s="294"/>
      <c r="K26" s="294"/>
    </row>
    <row r="27" spans="1:52" x14ac:dyDescent="0.2">
      <c r="J27" s="275"/>
    </row>
    <row r="28" spans="1:52" s="855" customFormat="1" ht="36" x14ac:dyDescent="0.2">
      <c r="A28" s="849" t="s">
        <v>2178</v>
      </c>
      <c r="B28" s="849" t="s">
        <v>2923</v>
      </c>
      <c r="C28" s="849" t="s">
        <v>3948</v>
      </c>
      <c r="D28" s="849" t="s">
        <v>3949</v>
      </c>
      <c r="E28" s="849" t="s">
        <v>2184</v>
      </c>
      <c r="F28" s="849" t="s">
        <v>2240</v>
      </c>
      <c r="G28" s="849" t="s">
        <v>2186</v>
      </c>
      <c r="H28" s="849" t="s">
        <v>2187</v>
      </c>
      <c r="I28" s="849" t="s">
        <v>2207</v>
      </c>
      <c r="J28" s="849" t="s">
        <v>2192</v>
      </c>
      <c r="K28" s="849" t="s">
        <v>2242</v>
      </c>
      <c r="L28" s="275"/>
      <c r="M28" s="275"/>
      <c r="N28" s="275"/>
      <c r="O28" s="275"/>
      <c r="P28" s="275"/>
      <c r="Q28" s="275"/>
    </row>
    <row r="29" spans="1:52" s="855" customFormat="1" ht="24" x14ac:dyDescent="0.2">
      <c r="A29" s="850">
        <v>1</v>
      </c>
      <c r="B29" s="901">
        <v>973</v>
      </c>
      <c r="C29" s="902" t="s">
        <v>2644</v>
      </c>
      <c r="D29" s="902" t="s">
        <v>2918</v>
      </c>
      <c r="E29" s="851" t="s">
        <v>2645</v>
      </c>
      <c r="F29" s="850">
        <v>1370</v>
      </c>
      <c r="G29" s="951" t="s">
        <v>2605</v>
      </c>
      <c r="H29" s="887" t="s">
        <v>3979</v>
      </c>
      <c r="I29" s="925">
        <v>1460150.83</v>
      </c>
      <c r="J29" s="910" t="s">
        <v>2944</v>
      </c>
      <c r="K29" s="879">
        <v>2016</v>
      </c>
      <c r="L29" s="275"/>
      <c r="M29" s="275"/>
      <c r="N29" s="275"/>
      <c r="O29" s="275"/>
      <c r="P29" s="275"/>
      <c r="Q29" s="275"/>
      <c r="R29" s="275"/>
      <c r="S29" s="275"/>
    </row>
    <row r="30" spans="1:52" s="855" customFormat="1" ht="24" x14ac:dyDescent="0.2">
      <c r="A30" s="850">
        <v>2</v>
      </c>
      <c r="B30" s="850">
        <v>973</v>
      </c>
      <c r="C30" s="940" t="s">
        <v>3940</v>
      </c>
      <c r="D30" s="850"/>
      <c r="E30" s="851" t="s">
        <v>3980</v>
      </c>
      <c r="F30" s="850"/>
      <c r="G30" s="951" t="s">
        <v>2605</v>
      </c>
      <c r="H30" s="850" t="s">
        <v>3981</v>
      </c>
      <c r="I30" s="925">
        <v>329395.13</v>
      </c>
      <c r="J30" s="952" t="s">
        <v>2925</v>
      </c>
      <c r="K30" s="879">
        <v>2016</v>
      </c>
      <c r="L30" s="275"/>
      <c r="M30" s="275"/>
      <c r="N30" s="275"/>
      <c r="O30" s="275"/>
      <c r="P30" s="275"/>
      <c r="Q30" s="275"/>
      <c r="R30" s="275"/>
      <c r="S30" s="275"/>
    </row>
    <row r="31" spans="1:52" s="855" customFormat="1" ht="24" x14ac:dyDescent="0.2">
      <c r="A31" s="850">
        <v>3</v>
      </c>
      <c r="B31" s="901">
        <v>973</v>
      </c>
      <c r="C31" s="902" t="s">
        <v>3982</v>
      </c>
      <c r="D31" s="884">
        <v>2013</v>
      </c>
      <c r="E31" s="851" t="s">
        <v>2609</v>
      </c>
      <c r="F31" s="850">
        <v>926</v>
      </c>
      <c r="G31" s="951" t="s">
        <v>2605</v>
      </c>
      <c r="H31" s="850" t="s">
        <v>3983</v>
      </c>
      <c r="I31" s="925">
        <v>1104585.8799999999</v>
      </c>
      <c r="J31" s="952" t="s">
        <v>2944</v>
      </c>
      <c r="K31" s="879">
        <v>2016</v>
      </c>
    </row>
    <row r="32" spans="1:52" x14ac:dyDescent="0.2">
      <c r="E32" s="890" t="s">
        <v>2181</v>
      </c>
      <c r="F32" s="919">
        <f>SUM(F29:F31)</f>
        <v>2296</v>
      </c>
      <c r="H32" s="890" t="s">
        <v>2181</v>
      </c>
      <c r="I32" s="953">
        <f>SUM(I29:I31)</f>
        <v>2894131.84</v>
      </c>
      <c r="K32" s="738"/>
      <c r="T32" s="855"/>
      <c r="U32" s="855"/>
      <c r="V32" s="855"/>
      <c r="W32" s="855"/>
      <c r="X32" s="855"/>
      <c r="Y32" s="855"/>
      <c r="Z32" s="855"/>
      <c r="AA32" s="855"/>
      <c r="AB32" s="855"/>
      <c r="AC32" s="855"/>
      <c r="AD32" s="855"/>
      <c r="AE32" s="855"/>
      <c r="AF32" s="855"/>
      <c r="AG32" s="855"/>
      <c r="AH32" s="855"/>
      <c r="AI32" s="855"/>
      <c r="AJ32" s="855"/>
      <c r="AK32" s="855"/>
      <c r="AL32" s="855"/>
      <c r="AM32" s="855"/>
      <c r="AN32" s="855"/>
      <c r="AO32" s="855"/>
      <c r="AP32" s="855"/>
      <c r="AQ32" s="855"/>
      <c r="AR32" s="855"/>
      <c r="AS32" s="855"/>
      <c r="AT32" s="855"/>
      <c r="AU32" s="855"/>
      <c r="AV32" s="855"/>
      <c r="AW32" s="855"/>
      <c r="AX32" s="855"/>
      <c r="AY32" s="855"/>
      <c r="AZ32" s="855"/>
    </row>
    <row r="33" spans="1:52" x14ac:dyDescent="0.2">
      <c r="A33" s="276"/>
      <c r="B33" s="276"/>
      <c r="C33" s="276"/>
      <c r="D33" s="276"/>
      <c r="E33" s="276"/>
      <c r="F33" s="276"/>
      <c r="G33" s="276"/>
      <c r="H33" s="276"/>
      <c r="I33" s="276"/>
      <c r="T33" s="855"/>
      <c r="U33" s="855"/>
      <c r="V33" s="855"/>
      <c r="W33" s="855"/>
      <c r="X33" s="855"/>
      <c r="Y33" s="855"/>
      <c r="Z33" s="855"/>
      <c r="AA33" s="855"/>
      <c r="AB33" s="855"/>
      <c r="AC33" s="855"/>
      <c r="AD33" s="855"/>
      <c r="AE33" s="855"/>
      <c r="AF33" s="855"/>
      <c r="AG33" s="855"/>
      <c r="AH33" s="855"/>
      <c r="AI33" s="855"/>
      <c r="AJ33" s="855"/>
      <c r="AK33" s="855"/>
      <c r="AL33" s="855"/>
      <c r="AM33" s="855"/>
      <c r="AN33" s="855"/>
      <c r="AO33" s="855"/>
      <c r="AP33" s="855"/>
      <c r="AQ33" s="855"/>
      <c r="AR33" s="855"/>
      <c r="AS33" s="855"/>
      <c r="AT33" s="855"/>
      <c r="AU33" s="855"/>
      <c r="AV33" s="855"/>
      <c r="AW33" s="855"/>
      <c r="AX33" s="855"/>
      <c r="AY33" s="855"/>
      <c r="AZ33" s="855"/>
    </row>
    <row r="34" spans="1:52" x14ac:dyDescent="0.2">
      <c r="A34" s="296" t="s">
        <v>2922</v>
      </c>
      <c r="B34" s="296"/>
      <c r="C34" s="296"/>
      <c r="D34" s="296"/>
      <c r="E34" s="296"/>
      <c r="F34" s="276"/>
      <c r="G34" s="276"/>
      <c r="H34" s="276"/>
      <c r="I34" s="276"/>
    </row>
    <row r="35" spans="1:52" x14ac:dyDescent="0.2">
      <c r="A35" s="276"/>
      <c r="B35" s="276"/>
      <c r="C35" s="276"/>
      <c r="D35" s="276"/>
      <c r="E35" s="276"/>
      <c r="F35" s="290"/>
      <c r="G35" s="291"/>
    </row>
    <row r="36" spans="1:52" ht="36" x14ac:dyDescent="0.2">
      <c r="A36" s="849" t="s">
        <v>2178</v>
      </c>
      <c r="B36" s="849" t="s">
        <v>2923</v>
      </c>
      <c r="C36" s="849" t="s">
        <v>3948</v>
      </c>
      <c r="D36" s="849" t="s">
        <v>3949</v>
      </c>
      <c r="E36" s="849" t="s">
        <v>2184</v>
      </c>
      <c r="F36" s="849" t="s">
        <v>2240</v>
      </c>
      <c r="G36" s="849" t="s">
        <v>2186</v>
      </c>
      <c r="H36" s="849" t="s">
        <v>2187</v>
      </c>
      <c r="I36" s="849" t="s">
        <v>2207</v>
      </c>
      <c r="J36" s="849" t="s">
        <v>2192</v>
      </c>
      <c r="K36" s="849" t="s">
        <v>2242</v>
      </c>
    </row>
    <row r="37" spans="1:52" ht="60" x14ac:dyDescent="0.2">
      <c r="A37" s="850">
        <v>1</v>
      </c>
      <c r="B37" s="901">
        <v>873</v>
      </c>
      <c r="C37" s="902"/>
      <c r="D37" s="902" t="s">
        <v>2277</v>
      </c>
      <c r="E37" s="851" t="s">
        <v>2624</v>
      </c>
      <c r="F37" s="850" t="s">
        <v>2229</v>
      </c>
      <c r="G37" s="927" t="s">
        <v>2201</v>
      </c>
      <c r="H37" s="887" t="s">
        <v>2625</v>
      </c>
      <c r="I37" s="880">
        <v>3795000</v>
      </c>
      <c r="J37" s="882" t="s">
        <v>2659</v>
      </c>
      <c r="K37" s="879">
        <v>2015</v>
      </c>
      <c r="L37" s="281"/>
      <c r="M37" s="281"/>
      <c r="N37" s="281"/>
      <c r="O37" s="281"/>
      <c r="P37" s="281"/>
    </row>
    <row r="38" spans="1:52" ht="24" x14ac:dyDescent="0.2">
      <c r="A38" s="850">
        <v>2</v>
      </c>
      <c r="B38" s="878">
        <v>910</v>
      </c>
      <c r="C38" s="902"/>
      <c r="D38" s="902" t="s">
        <v>2277</v>
      </c>
      <c r="E38" s="851" t="s">
        <v>2626</v>
      </c>
      <c r="F38" s="850">
        <v>295</v>
      </c>
      <c r="G38" s="852" t="s">
        <v>2201</v>
      </c>
      <c r="H38" s="887" t="s">
        <v>2627</v>
      </c>
      <c r="I38" s="880">
        <v>23752900</v>
      </c>
      <c r="J38" s="882" t="s">
        <v>2659</v>
      </c>
      <c r="K38" s="879">
        <v>2015</v>
      </c>
      <c r="L38" s="281"/>
      <c r="M38" s="281"/>
      <c r="N38" s="281"/>
      <c r="O38" s="281"/>
      <c r="P38" s="281"/>
    </row>
    <row r="39" spans="1:52" s="855" customFormat="1" ht="24" x14ac:dyDescent="0.2">
      <c r="A39" s="850">
        <v>3</v>
      </c>
      <c r="B39" s="850">
        <v>917</v>
      </c>
      <c r="C39" s="901"/>
      <c r="D39" s="902" t="s">
        <v>2902</v>
      </c>
      <c r="E39" s="851" t="s">
        <v>2628</v>
      </c>
      <c r="F39" s="878">
        <v>313</v>
      </c>
      <c r="G39" s="927" t="s">
        <v>2193</v>
      </c>
      <c r="H39" s="887" t="s">
        <v>3984</v>
      </c>
      <c r="I39" s="880">
        <v>92757030.340000004</v>
      </c>
      <c r="J39" s="946" t="s">
        <v>2933</v>
      </c>
      <c r="K39" s="879">
        <v>2015</v>
      </c>
      <c r="L39" s="281"/>
      <c r="M39" s="281"/>
      <c r="N39" s="281"/>
      <c r="O39" s="281"/>
      <c r="P39" s="275"/>
      <c r="Q39" s="281"/>
      <c r="R39" s="281"/>
      <c r="S39" s="281"/>
      <c r="T39" s="281"/>
      <c r="U39" s="275"/>
    </row>
    <row r="40" spans="1:52" s="855" customFormat="1" ht="36" x14ac:dyDescent="0.2">
      <c r="A40" s="850">
        <v>3</v>
      </c>
      <c r="B40" s="901">
        <v>928</v>
      </c>
      <c r="C40" s="902" t="s">
        <v>2203</v>
      </c>
      <c r="D40" s="902" t="s">
        <v>2909</v>
      </c>
      <c r="E40" s="851" t="s">
        <v>2214</v>
      </c>
      <c r="F40" s="850">
        <v>1320</v>
      </c>
      <c r="G40" s="927" t="s">
        <v>2193</v>
      </c>
      <c r="H40" s="887" t="s">
        <v>2215</v>
      </c>
      <c r="I40" s="880">
        <v>366416205</v>
      </c>
      <c r="J40" s="938" t="s">
        <v>2646</v>
      </c>
      <c r="K40" s="879">
        <v>2015</v>
      </c>
      <c r="L40" s="281"/>
      <c r="M40" s="281"/>
      <c r="N40" s="281"/>
      <c r="O40" s="281"/>
      <c r="P40" s="281"/>
    </row>
    <row r="41" spans="1:52" ht="24" x14ac:dyDescent="0.2">
      <c r="A41" s="850">
        <v>4</v>
      </c>
      <c r="B41" s="901">
        <v>940</v>
      </c>
      <c r="C41" s="902"/>
      <c r="D41" s="902" t="s">
        <v>2277</v>
      </c>
      <c r="E41" s="851" t="s">
        <v>2926</v>
      </c>
      <c r="F41" s="850">
        <v>20</v>
      </c>
      <c r="G41" s="852" t="s">
        <v>2201</v>
      </c>
      <c r="H41" s="887" t="s">
        <v>2927</v>
      </c>
      <c r="I41" s="910">
        <v>18757511</v>
      </c>
      <c r="J41" s="882" t="s">
        <v>2659</v>
      </c>
      <c r="K41" s="879">
        <v>2015</v>
      </c>
      <c r="L41" s="281"/>
      <c r="M41" s="281"/>
      <c r="N41" s="281"/>
      <c r="O41" s="281"/>
      <c r="P41" s="281"/>
    </row>
    <row r="42" spans="1:52" ht="24" x14ac:dyDescent="0.2">
      <c r="A42" s="850">
        <v>5</v>
      </c>
      <c r="B42" s="901">
        <v>973</v>
      </c>
      <c r="C42" s="902" t="s">
        <v>2225</v>
      </c>
      <c r="D42" s="902" t="s">
        <v>2884</v>
      </c>
      <c r="E42" s="851" t="s">
        <v>2657</v>
      </c>
      <c r="F42" s="850" t="s">
        <v>2229</v>
      </c>
      <c r="G42" s="927" t="s">
        <v>2201</v>
      </c>
      <c r="H42" s="887" t="s">
        <v>2658</v>
      </c>
      <c r="I42" s="880">
        <v>25074800</v>
      </c>
      <c r="J42" s="882" t="s">
        <v>2659</v>
      </c>
      <c r="K42" s="879">
        <v>2015</v>
      </c>
      <c r="L42" s="281"/>
      <c r="M42" s="281"/>
      <c r="N42" s="281"/>
      <c r="O42" s="281"/>
      <c r="P42" s="281"/>
    </row>
    <row r="43" spans="1:52" ht="24" x14ac:dyDescent="0.2">
      <c r="A43" s="850">
        <v>6</v>
      </c>
      <c r="B43" s="901">
        <v>973</v>
      </c>
      <c r="C43" s="902" t="s">
        <v>2928</v>
      </c>
      <c r="D43" s="902" t="s">
        <v>2277</v>
      </c>
      <c r="E43" s="851" t="s">
        <v>2929</v>
      </c>
      <c r="F43" s="850" t="s">
        <v>2229</v>
      </c>
      <c r="G43" s="927" t="s">
        <v>2201</v>
      </c>
      <c r="H43" s="887" t="s">
        <v>2930</v>
      </c>
      <c r="I43" s="880">
        <v>1557000</v>
      </c>
      <c r="J43" s="882" t="s">
        <v>2659</v>
      </c>
      <c r="K43" s="879">
        <v>2015</v>
      </c>
      <c r="L43" s="281"/>
      <c r="M43" s="281"/>
      <c r="N43" s="281"/>
      <c r="O43" s="281"/>
      <c r="P43" s="281"/>
    </row>
    <row r="44" spans="1:52" ht="24" x14ac:dyDescent="0.2">
      <c r="A44" s="850">
        <v>7</v>
      </c>
      <c r="B44" s="901">
        <v>973</v>
      </c>
      <c r="C44" s="902"/>
      <c r="D44" s="902">
        <v>2015</v>
      </c>
      <c r="E44" s="851" t="s">
        <v>2931</v>
      </c>
      <c r="F44" s="850">
        <v>431</v>
      </c>
      <c r="G44" s="927" t="s">
        <v>2201</v>
      </c>
      <c r="H44" s="887" t="s">
        <v>2932</v>
      </c>
      <c r="I44" s="880">
        <v>14707800</v>
      </c>
      <c r="J44" s="882" t="s">
        <v>2933</v>
      </c>
      <c r="K44" s="879">
        <v>2015</v>
      </c>
    </row>
    <row r="45" spans="1:52" ht="24" x14ac:dyDescent="0.2">
      <c r="A45" s="850">
        <v>8</v>
      </c>
      <c r="B45" s="901">
        <v>973</v>
      </c>
      <c r="C45" s="902"/>
      <c r="D45" s="902" t="s">
        <v>2884</v>
      </c>
      <c r="E45" s="851" t="s">
        <v>2637</v>
      </c>
      <c r="F45" s="850">
        <v>200</v>
      </c>
      <c r="G45" s="927" t="s">
        <v>2193</v>
      </c>
      <c r="H45" s="887" t="s">
        <v>2638</v>
      </c>
      <c r="I45" s="880">
        <v>88319000</v>
      </c>
      <c r="J45" s="910" t="s">
        <v>2933</v>
      </c>
      <c r="K45" s="879">
        <v>2015</v>
      </c>
    </row>
    <row r="46" spans="1:52" ht="24" x14ac:dyDescent="0.2">
      <c r="A46" s="850">
        <v>9</v>
      </c>
      <c r="B46" s="901">
        <v>981</v>
      </c>
      <c r="C46" s="902"/>
      <c r="D46" s="902" t="s">
        <v>2902</v>
      </c>
      <c r="E46" s="851" t="s">
        <v>2202</v>
      </c>
      <c r="F46" s="850">
        <v>14</v>
      </c>
      <c r="G46" s="927" t="s">
        <v>2193</v>
      </c>
      <c r="H46" s="887" t="s">
        <v>2651</v>
      </c>
      <c r="I46" s="910">
        <v>55122903.020000003</v>
      </c>
      <c r="J46" s="882" t="s">
        <v>2646</v>
      </c>
      <c r="K46" s="879">
        <v>2015</v>
      </c>
      <c r="L46" s="297"/>
      <c r="M46" s="297"/>
      <c r="N46" s="298"/>
      <c r="O46" s="291"/>
      <c r="P46" s="299"/>
    </row>
    <row r="47" spans="1:52" ht="24" x14ac:dyDescent="0.2">
      <c r="A47" s="850">
        <v>10</v>
      </c>
      <c r="B47" s="901">
        <v>985</v>
      </c>
      <c r="C47" s="902"/>
      <c r="D47" s="902" t="s">
        <v>2902</v>
      </c>
      <c r="E47" s="851" t="s">
        <v>2652</v>
      </c>
      <c r="F47" s="850">
        <v>50</v>
      </c>
      <c r="G47" s="927" t="s">
        <v>2193</v>
      </c>
      <c r="H47" s="887" t="s">
        <v>2233</v>
      </c>
      <c r="I47" s="880">
        <v>69937316.760000005</v>
      </c>
      <c r="J47" s="882" t="s">
        <v>2659</v>
      </c>
      <c r="K47" s="879">
        <v>2015</v>
      </c>
    </row>
    <row r="48" spans="1:52" ht="24" x14ac:dyDescent="0.2">
      <c r="A48" s="850">
        <v>11</v>
      </c>
      <c r="B48" s="901">
        <v>992</v>
      </c>
      <c r="C48" s="902"/>
      <c r="D48" s="902" t="s">
        <v>2902</v>
      </c>
      <c r="E48" s="851" t="s">
        <v>2238</v>
      </c>
      <c r="F48" s="850">
        <v>50</v>
      </c>
      <c r="G48" s="927" t="s">
        <v>2193</v>
      </c>
      <c r="H48" s="887" t="s">
        <v>2233</v>
      </c>
      <c r="I48" s="910">
        <v>72096474.150000006</v>
      </c>
      <c r="J48" s="882" t="s">
        <v>2659</v>
      </c>
      <c r="K48" s="879">
        <v>2015</v>
      </c>
    </row>
    <row r="49" spans="1:16" ht="24" x14ac:dyDescent="0.2">
      <c r="A49" s="850">
        <v>12</v>
      </c>
      <c r="B49" s="901">
        <v>994</v>
      </c>
      <c r="C49" s="902"/>
      <c r="D49" s="902" t="s">
        <v>2902</v>
      </c>
      <c r="E49" s="851" t="s">
        <v>2660</v>
      </c>
      <c r="F49" s="850">
        <v>2678</v>
      </c>
      <c r="G49" s="927" t="s">
        <v>2193</v>
      </c>
      <c r="H49" s="887" t="s">
        <v>2661</v>
      </c>
      <c r="I49" s="880">
        <v>238551500</v>
      </c>
      <c r="J49" s="882" t="s">
        <v>2659</v>
      </c>
      <c r="K49" s="879">
        <v>2015</v>
      </c>
    </row>
    <row r="50" spans="1:16" x14ac:dyDescent="0.2">
      <c r="A50" s="850">
        <v>13</v>
      </c>
      <c r="B50" s="901">
        <v>999</v>
      </c>
      <c r="C50" s="902"/>
      <c r="D50" s="902" t="s">
        <v>2902</v>
      </c>
      <c r="E50" s="851" t="s">
        <v>2653</v>
      </c>
      <c r="F50" s="850">
        <v>250</v>
      </c>
      <c r="G50" s="927" t="s">
        <v>2193</v>
      </c>
      <c r="H50" s="887" t="s">
        <v>2654</v>
      </c>
      <c r="I50" s="910">
        <v>170511678.5</v>
      </c>
      <c r="J50" s="882" t="s">
        <v>2659</v>
      </c>
      <c r="K50" s="879">
        <v>2015</v>
      </c>
    </row>
    <row r="51" spans="1:16" x14ac:dyDescent="0.2">
      <c r="A51" s="276"/>
      <c r="B51" s="276"/>
      <c r="C51" s="276"/>
      <c r="D51" s="276"/>
      <c r="E51" s="890" t="s">
        <v>2181</v>
      </c>
      <c r="F51" s="919">
        <f>SUM(F37:F50)</f>
        <v>5621</v>
      </c>
      <c r="H51" s="890" t="s">
        <v>2181</v>
      </c>
      <c r="I51" s="921">
        <f>SUM(I37:I50)</f>
        <v>1241357118.77</v>
      </c>
    </row>
    <row r="52" spans="1:16" x14ac:dyDescent="0.2">
      <c r="A52" s="276"/>
      <c r="B52" s="276"/>
      <c r="C52" s="276"/>
      <c r="D52" s="276"/>
      <c r="E52" s="276"/>
      <c r="F52" s="290"/>
      <c r="G52" s="291"/>
    </row>
    <row r="53" spans="1:16" x14ac:dyDescent="0.2">
      <c r="A53" s="278" t="s">
        <v>2656</v>
      </c>
      <c r="B53" s="278"/>
      <c r="C53" s="278"/>
      <c r="D53" s="278"/>
      <c r="E53" s="278"/>
    </row>
    <row r="55" spans="1:16" ht="36" x14ac:dyDescent="0.2">
      <c r="A55" s="849" t="s">
        <v>2178</v>
      </c>
      <c r="B55" s="849" t="s">
        <v>2923</v>
      </c>
      <c r="C55" s="849" t="s">
        <v>3948</v>
      </c>
      <c r="D55" s="849" t="s">
        <v>3949</v>
      </c>
      <c r="E55" s="849" t="s">
        <v>2184</v>
      </c>
      <c r="F55" s="849" t="s">
        <v>2240</v>
      </c>
      <c r="G55" s="849" t="s">
        <v>2186</v>
      </c>
      <c r="H55" s="849" t="s">
        <v>2187</v>
      </c>
      <c r="I55" s="849" t="s">
        <v>2207</v>
      </c>
      <c r="J55" s="849" t="s">
        <v>2192</v>
      </c>
      <c r="K55" s="849" t="s">
        <v>2242</v>
      </c>
    </row>
    <row r="56" spans="1:16" ht="24" x14ac:dyDescent="0.2">
      <c r="A56" s="878">
        <v>1</v>
      </c>
      <c r="B56" s="901">
        <v>903</v>
      </c>
      <c r="C56" s="902"/>
      <c r="D56" s="902" t="s">
        <v>2902</v>
      </c>
      <c r="E56" s="851" t="s">
        <v>2209</v>
      </c>
      <c r="F56" s="850">
        <v>960</v>
      </c>
      <c r="G56" s="927" t="s">
        <v>2210</v>
      </c>
      <c r="H56" s="887" t="s">
        <v>2211</v>
      </c>
      <c r="I56" s="910">
        <v>692556205.66000009</v>
      </c>
      <c r="J56" s="882" t="s">
        <v>2933</v>
      </c>
      <c r="K56" s="879">
        <v>2014</v>
      </c>
    </row>
    <row r="57" spans="1:16" ht="24" x14ac:dyDescent="0.2">
      <c r="A57" s="850">
        <v>2</v>
      </c>
      <c r="B57" s="901">
        <v>913</v>
      </c>
      <c r="C57" s="902"/>
      <c r="D57" s="902" t="s">
        <v>2909</v>
      </c>
      <c r="E57" s="851" t="s">
        <v>2934</v>
      </c>
      <c r="F57" s="850">
        <v>850</v>
      </c>
      <c r="G57" s="927" t="s">
        <v>2193</v>
      </c>
      <c r="H57" s="887" t="s">
        <v>2935</v>
      </c>
      <c r="I57" s="880">
        <v>258380202.54999998</v>
      </c>
      <c r="J57" s="882" t="s">
        <v>2936</v>
      </c>
      <c r="K57" s="879">
        <v>2014</v>
      </c>
    </row>
    <row r="58" spans="1:16" ht="24" x14ac:dyDescent="0.2">
      <c r="A58" s="878">
        <v>3</v>
      </c>
      <c r="B58" s="901">
        <v>915</v>
      </c>
      <c r="C58" s="902"/>
      <c r="D58" s="902" t="s">
        <v>2902</v>
      </c>
      <c r="E58" s="851" t="s">
        <v>2212</v>
      </c>
      <c r="F58" s="850">
        <v>75</v>
      </c>
      <c r="G58" s="927" t="s">
        <v>2193</v>
      </c>
      <c r="H58" s="887" t="s">
        <v>2213</v>
      </c>
      <c r="I58" s="910">
        <v>35477332.780000001</v>
      </c>
      <c r="J58" s="882" t="s">
        <v>2659</v>
      </c>
      <c r="K58" s="879">
        <v>2014</v>
      </c>
    </row>
    <row r="59" spans="1:16" ht="24" x14ac:dyDescent="0.2">
      <c r="A59" s="850">
        <v>4</v>
      </c>
      <c r="B59" s="901" t="s">
        <v>2937</v>
      </c>
      <c r="C59" s="902"/>
      <c r="D59" s="902" t="s">
        <v>2909</v>
      </c>
      <c r="E59" s="851" t="s">
        <v>2938</v>
      </c>
      <c r="F59" s="850">
        <v>1220</v>
      </c>
      <c r="G59" s="927" t="s">
        <v>2210</v>
      </c>
      <c r="H59" s="887" t="s">
        <v>2939</v>
      </c>
      <c r="I59" s="880">
        <v>843228589.12</v>
      </c>
      <c r="J59" s="882" t="s">
        <v>2659</v>
      </c>
      <c r="K59" s="879">
        <v>2014</v>
      </c>
    </row>
    <row r="60" spans="1:16" ht="24" x14ac:dyDescent="0.2">
      <c r="A60" s="878">
        <v>5</v>
      </c>
      <c r="B60" s="887" t="s">
        <v>2940</v>
      </c>
      <c r="C60" s="902" t="s">
        <v>2941</v>
      </c>
      <c r="D60" s="902" t="s">
        <v>2875</v>
      </c>
      <c r="E60" s="851" t="s">
        <v>2942</v>
      </c>
      <c r="F60" s="850">
        <v>2985</v>
      </c>
      <c r="G60" s="927" t="s">
        <v>2210</v>
      </c>
      <c r="H60" s="887" t="s">
        <v>2943</v>
      </c>
      <c r="I60" s="880">
        <v>2069134913.8200002</v>
      </c>
      <c r="J60" s="882" t="s">
        <v>2936</v>
      </c>
      <c r="K60" s="879">
        <v>2014</v>
      </c>
    </row>
    <row r="61" spans="1:16" ht="36" x14ac:dyDescent="0.2">
      <c r="A61" s="878">
        <v>6</v>
      </c>
      <c r="B61" s="901">
        <v>937</v>
      </c>
      <c r="C61" s="902"/>
      <c r="D61" s="902" t="s">
        <v>2909</v>
      </c>
      <c r="E61" s="851" t="s">
        <v>2219</v>
      </c>
      <c r="F61" s="850">
        <v>145</v>
      </c>
      <c r="G61" s="927" t="s">
        <v>2193</v>
      </c>
      <c r="H61" s="887" t="s">
        <v>2220</v>
      </c>
      <c r="I61" s="910">
        <v>70387154.370000005</v>
      </c>
      <c r="J61" s="938" t="s">
        <v>2944</v>
      </c>
      <c r="K61" s="879">
        <v>2014</v>
      </c>
      <c r="L61" s="291"/>
      <c r="M61" s="291"/>
      <c r="N61" s="291"/>
      <c r="O61" s="291"/>
      <c r="P61" s="291"/>
    </row>
    <row r="62" spans="1:16" s="855" customFormat="1" ht="36" x14ac:dyDescent="0.2">
      <c r="A62" s="850">
        <v>7</v>
      </c>
      <c r="B62" s="887" t="s">
        <v>2243</v>
      </c>
      <c r="C62" s="902" t="s">
        <v>2203</v>
      </c>
      <c r="D62" s="902" t="s">
        <v>2909</v>
      </c>
      <c r="E62" s="851" t="s">
        <v>2244</v>
      </c>
      <c r="F62" s="850">
        <v>247</v>
      </c>
      <c r="G62" s="927" t="s">
        <v>2193</v>
      </c>
      <c r="H62" s="887" t="s">
        <v>2245</v>
      </c>
      <c r="I62" s="880">
        <v>131764705.75</v>
      </c>
      <c r="J62" s="938" t="s">
        <v>2647</v>
      </c>
      <c r="K62" s="879">
        <v>2014</v>
      </c>
      <c r="L62" s="297"/>
      <c r="M62" s="297"/>
      <c r="N62" s="298"/>
      <c r="O62" s="299"/>
      <c r="P62" s="299"/>
    </row>
    <row r="63" spans="1:16" ht="24" x14ac:dyDescent="0.2">
      <c r="A63" s="878">
        <v>8</v>
      </c>
      <c r="B63" s="901">
        <v>953</v>
      </c>
      <c r="C63" s="902" t="s">
        <v>2246</v>
      </c>
      <c r="D63" s="902" t="s">
        <v>2909</v>
      </c>
      <c r="E63" s="851" t="s">
        <v>2247</v>
      </c>
      <c r="F63" s="850">
        <v>170</v>
      </c>
      <c r="G63" s="927" t="s">
        <v>2193</v>
      </c>
      <c r="H63" s="887" t="s">
        <v>2648</v>
      </c>
      <c r="I63" s="910">
        <v>163553816.22999996</v>
      </c>
      <c r="J63" s="882" t="s">
        <v>2933</v>
      </c>
      <c r="K63" s="879">
        <v>2014</v>
      </c>
      <c r="L63" s="291"/>
      <c r="M63" s="298"/>
      <c r="N63" s="298"/>
      <c r="O63" s="291"/>
      <c r="P63" s="291"/>
    </row>
    <row r="64" spans="1:16" s="855" customFormat="1" ht="24" x14ac:dyDescent="0.2">
      <c r="A64" s="850">
        <v>9</v>
      </c>
      <c r="B64" s="901">
        <v>963</v>
      </c>
      <c r="C64" s="902"/>
      <c r="D64" s="902" t="s">
        <v>2918</v>
      </c>
      <c r="E64" s="851" t="s">
        <v>2221</v>
      </c>
      <c r="F64" s="850">
        <v>46</v>
      </c>
      <c r="G64" s="927" t="s">
        <v>2193</v>
      </c>
      <c r="H64" s="887" t="s">
        <v>2222</v>
      </c>
      <c r="I64" s="880">
        <v>29748364.849999998</v>
      </c>
      <c r="J64" s="938" t="s">
        <v>2649</v>
      </c>
      <c r="K64" s="879">
        <v>2014</v>
      </c>
      <c r="L64" s="297"/>
      <c r="M64" s="298"/>
      <c r="N64" s="298"/>
      <c r="O64" s="299"/>
      <c r="P64" s="299"/>
    </row>
    <row r="65" spans="1:16" ht="24" x14ac:dyDescent="0.2">
      <c r="A65" s="878">
        <v>10</v>
      </c>
      <c r="B65" s="901">
        <v>964</v>
      </c>
      <c r="C65" s="902" t="s">
        <v>2203</v>
      </c>
      <c r="D65" s="902" t="s">
        <v>2918</v>
      </c>
      <c r="E65" s="851" t="s">
        <v>2223</v>
      </c>
      <c r="F65" s="850">
        <v>483</v>
      </c>
      <c r="G65" s="927" t="s">
        <v>2193</v>
      </c>
      <c r="H65" s="887" t="s">
        <v>2224</v>
      </c>
      <c r="I65" s="910">
        <v>51649570.329999998</v>
      </c>
      <c r="J65" s="882" t="s">
        <v>2933</v>
      </c>
      <c r="K65" s="879">
        <v>2014</v>
      </c>
      <c r="L65" s="291"/>
      <c r="M65" s="298"/>
      <c r="N65" s="298"/>
      <c r="O65" s="291"/>
      <c r="P65" s="291"/>
    </row>
    <row r="66" spans="1:16" s="855" customFormat="1" ht="36" x14ac:dyDescent="0.2">
      <c r="A66" s="878">
        <v>11</v>
      </c>
      <c r="B66" s="901">
        <v>967</v>
      </c>
      <c r="C66" s="902" t="s">
        <v>2225</v>
      </c>
      <c r="D66" s="902" t="s">
        <v>2902</v>
      </c>
      <c r="E66" s="851" t="s">
        <v>2226</v>
      </c>
      <c r="F66" s="850">
        <v>490</v>
      </c>
      <c r="G66" s="927" t="s">
        <v>2193</v>
      </c>
      <c r="H66" s="887" t="s">
        <v>2227</v>
      </c>
      <c r="I66" s="880">
        <v>201975059.52000001</v>
      </c>
      <c r="J66" s="938" t="s">
        <v>2650</v>
      </c>
      <c r="K66" s="879">
        <v>2014</v>
      </c>
      <c r="L66" s="297"/>
      <c r="M66" s="298"/>
      <c r="N66" s="298"/>
      <c r="O66" s="299"/>
      <c r="P66" s="299"/>
    </row>
    <row r="67" spans="1:16" ht="24" x14ac:dyDescent="0.2">
      <c r="A67" s="850">
        <v>12</v>
      </c>
      <c r="B67" s="901">
        <v>972</v>
      </c>
      <c r="C67" s="902" t="s">
        <v>2203</v>
      </c>
      <c r="D67" s="902" t="s">
        <v>2902</v>
      </c>
      <c r="E67" s="851" t="s">
        <v>2945</v>
      </c>
      <c r="F67" s="850">
        <v>505</v>
      </c>
      <c r="G67" s="927" t="s">
        <v>2193</v>
      </c>
      <c r="H67" s="887" t="s">
        <v>2946</v>
      </c>
      <c r="I67" s="880">
        <v>273140990.12</v>
      </c>
      <c r="J67" s="882" t="s">
        <v>2933</v>
      </c>
      <c r="K67" s="879">
        <v>2014</v>
      </c>
      <c r="L67" s="291"/>
      <c r="M67" s="298"/>
      <c r="N67" s="298"/>
      <c r="O67" s="291"/>
      <c r="P67" s="291"/>
    </row>
    <row r="68" spans="1:16" ht="24" x14ac:dyDescent="0.2">
      <c r="A68" s="878">
        <v>13</v>
      </c>
      <c r="B68" s="901">
        <v>970</v>
      </c>
      <c r="C68" s="902"/>
      <c r="D68" s="902" t="s">
        <v>2902</v>
      </c>
      <c r="E68" s="851" t="s">
        <v>2947</v>
      </c>
      <c r="F68" s="850"/>
      <c r="G68" s="927" t="s">
        <v>2193</v>
      </c>
      <c r="H68" s="887" t="s">
        <v>2948</v>
      </c>
      <c r="I68" s="880">
        <v>98887588.170000002</v>
      </c>
      <c r="J68" s="882"/>
      <c r="K68" s="879"/>
      <c r="L68" s="291"/>
      <c r="M68" s="298"/>
      <c r="N68" s="298"/>
      <c r="O68" s="291"/>
      <c r="P68" s="291"/>
    </row>
    <row r="69" spans="1:16" ht="24" x14ac:dyDescent="0.2">
      <c r="A69" s="850">
        <v>14</v>
      </c>
      <c r="B69" s="901">
        <v>973</v>
      </c>
      <c r="C69" s="902"/>
      <c r="D69" s="902" t="s">
        <v>2902</v>
      </c>
      <c r="E69" s="851" t="s">
        <v>2949</v>
      </c>
      <c r="F69" s="850">
        <v>1400</v>
      </c>
      <c r="G69" s="927" t="s">
        <v>2193</v>
      </c>
      <c r="H69" s="887" t="s">
        <v>2950</v>
      </c>
      <c r="I69" s="880">
        <v>274596708.77999997</v>
      </c>
      <c r="J69" s="882" t="s">
        <v>2936</v>
      </c>
      <c r="K69" s="879">
        <v>2014</v>
      </c>
      <c r="L69" s="291"/>
      <c r="M69" s="298"/>
      <c r="N69" s="298"/>
      <c r="O69" s="291"/>
      <c r="P69" s="291"/>
    </row>
    <row r="70" spans="1:16" x14ac:dyDescent="0.2">
      <c r="A70" s="878">
        <v>15</v>
      </c>
      <c r="B70" s="901">
        <v>973</v>
      </c>
      <c r="C70" s="901">
        <v>780</v>
      </c>
      <c r="D70" s="901">
        <v>2013</v>
      </c>
      <c r="E70" s="851" t="s">
        <v>2228</v>
      </c>
      <c r="F70" s="850" t="s">
        <v>2229</v>
      </c>
      <c r="G70" s="850" t="s">
        <v>2193</v>
      </c>
      <c r="H70" s="927" t="s">
        <v>2230</v>
      </c>
      <c r="I70" s="910">
        <v>29950000</v>
      </c>
      <c r="J70" s="882" t="s">
        <v>2933</v>
      </c>
      <c r="K70" s="879">
        <v>2014</v>
      </c>
      <c r="M70" s="298"/>
      <c r="N70" s="298"/>
    </row>
    <row r="71" spans="1:16" ht="36" x14ac:dyDescent="0.2">
      <c r="A71" s="878">
        <v>16</v>
      </c>
      <c r="B71" s="901">
        <v>973</v>
      </c>
      <c r="C71" s="902" t="s">
        <v>2250</v>
      </c>
      <c r="D71" s="902" t="s">
        <v>2918</v>
      </c>
      <c r="E71" s="851" t="s">
        <v>2951</v>
      </c>
      <c r="F71" s="850">
        <v>53.5</v>
      </c>
      <c r="G71" s="927" t="s">
        <v>2201</v>
      </c>
      <c r="H71" s="887" t="s">
        <v>2952</v>
      </c>
      <c r="I71" s="910">
        <v>118571475.50999999</v>
      </c>
      <c r="J71" s="882" t="s">
        <v>2933</v>
      </c>
      <c r="K71" s="879">
        <v>2014</v>
      </c>
      <c r="M71" s="298"/>
      <c r="N71" s="298"/>
    </row>
    <row r="72" spans="1:16" ht="24" x14ac:dyDescent="0.2">
      <c r="A72" s="850">
        <v>17</v>
      </c>
      <c r="B72" s="901">
        <v>973</v>
      </c>
      <c r="C72" s="902"/>
      <c r="D72" s="902" t="s">
        <v>2902</v>
      </c>
      <c r="E72" s="851" t="s">
        <v>2248</v>
      </c>
      <c r="F72" s="850" t="s">
        <v>2180</v>
      </c>
      <c r="G72" s="927" t="s">
        <v>2201</v>
      </c>
      <c r="H72" s="887" t="s">
        <v>2249</v>
      </c>
      <c r="I72" s="910">
        <v>15424358</v>
      </c>
      <c r="J72" s="882" t="s">
        <v>2944</v>
      </c>
      <c r="K72" s="879">
        <v>2014</v>
      </c>
      <c r="M72" s="298"/>
      <c r="N72" s="298"/>
    </row>
    <row r="73" spans="1:16" ht="60" x14ac:dyDescent="0.2">
      <c r="A73" s="878">
        <v>18</v>
      </c>
      <c r="B73" s="901">
        <v>973</v>
      </c>
      <c r="C73" s="902" t="s">
        <v>2251</v>
      </c>
      <c r="D73" s="902" t="s">
        <v>2918</v>
      </c>
      <c r="E73" s="851" t="s">
        <v>2953</v>
      </c>
      <c r="F73" s="850">
        <v>195</v>
      </c>
      <c r="G73" s="927" t="s">
        <v>2193</v>
      </c>
      <c r="H73" s="887" t="s">
        <v>2954</v>
      </c>
      <c r="I73" s="910">
        <v>108976344.93000001</v>
      </c>
      <c r="J73" s="882" t="s">
        <v>2933</v>
      </c>
      <c r="K73" s="879">
        <v>2014</v>
      </c>
      <c r="M73" s="298"/>
      <c r="N73" s="298"/>
    </row>
    <row r="74" spans="1:16" x14ac:dyDescent="0.2">
      <c r="A74" s="850">
        <v>19</v>
      </c>
      <c r="B74" s="901">
        <v>973</v>
      </c>
      <c r="C74" s="902" t="s">
        <v>2250</v>
      </c>
      <c r="D74" s="902" t="s">
        <v>2902</v>
      </c>
      <c r="E74" s="851" t="s">
        <v>2955</v>
      </c>
      <c r="F74" s="850"/>
      <c r="G74" s="927" t="s">
        <v>2201</v>
      </c>
      <c r="H74" s="887" t="s">
        <v>2956</v>
      </c>
      <c r="I74" s="910">
        <v>77826000</v>
      </c>
      <c r="J74" s="882" t="s">
        <v>2659</v>
      </c>
      <c r="K74" s="879">
        <v>2014</v>
      </c>
    </row>
    <row r="75" spans="1:16" ht="24" x14ac:dyDescent="0.2">
      <c r="A75" s="878">
        <v>20</v>
      </c>
      <c r="B75" s="901">
        <v>989</v>
      </c>
      <c r="C75" s="902"/>
      <c r="D75" s="902" t="s">
        <v>2918</v>
      </c>
      <c r="E75" s="851" t="s">
        <v>2236</v>
      </c>
      <c r="F75" s="850">
        <v>100</v>
      </c>
      <c r="G75" s="927" t="s">
        <v>2193</v>
      </c>
      <c r="H75" s="887" t="s">
        <v>2237</v>
      </c>
      <c r="I75" s="910">
        <v>44390391.210000001</v>
      </c>
      <c r="J75" s="882" t="s">
        <v>2933</v>
      </c>
      <c r="K75" s="879">
        <v>2014</v>
      </c>
    </row>
    <row r="76" spans="1:16" ht="24" x14ac:dyDescent="0.2">
      <c r="A76" s="878">
        <v>21</v>
      </c>
      <c r="B76" s="901">
        <v>988</v>
      </c>
      <c r="C76" s="902"/>
      <c r="D76" s="902" t="s">
        <v>2918</v>
      </c>
      <c r="E76" s="851" t="s">
        <v>2234</v>
      </c>
      <c r="F76" s="850">
        <v>46</v>
      </c>
      <c r="G76" s="927" t="s">
        <v>2193</v>
      </c>
      <c r="H76" s="887" t="s">
        <v>2235</v>
      </c>
      <c r="I76" s="910">
        <v>47634136.549999997</v>
      </c>
      <c r="J76" s="882" t="s">
        <v>2659</v>
      </c>
      <c r="K76" s="879">
        <v>2014</v>
      </c>
    </row>
    <row r="77" spans="1:16" ht="36" x14ac:dyDescent="0.2">
      <c r="A77" s="850">
        <v>22</v>
      </c>
      <c r="B77" s="901">
        <v>990</v>
      </c>
      <c r="C77" s="902" t="s">
        <v>2203</v>
      </c>
      <c r="D77" s="902" t="s">
        <v>2918</v>
      </c>
      <c r="E77" s="851" t="s">
        <v>2204</v>
      </c>
      <c r="F77" s="850">
        <v>225</v>
      </c>
      <c r="G77" s="927" t="s">
        <v>2193</v>
      </c>
      <c r="H77" s="887" t="s">
        <v>2205</v>
      </c>
      <c r="I77" s="910">
        <v>98825921.069999993</v>
      </c>
      <c r="J77" s="882" t="s">
        <v>2659</v>
      </c>
      <c r="K77" s="879">
        <v>2014</v>
      </c>
    </row>
    <row r="78" spans="1:16" x14ac:dyDescent="0.2">
      <c r="A78" s="297"/>
      <c r="B78" s="297"/>
      <c r="C78" s="297"/>
      <c r="D78" s="297"/>
      <c r="E78" s="890" t="s">
        <v>2181</v>
      </c>
      <c r="F78" s="919">
        <f>SUM(F56:F77)</f>
        <v>10195.5</v>
      </c>
      <c r="H78" s="890" t="s">
        <v>2181</v>
      </c>
      <c r="I78" s="921">
        <f>SUM(I56:I77)</f>
        <v>5736079829.3200006</v>
      </c>
      <c r="J78" s="300"/>
      <c r="K78" s="297"/>
    </row>
    <row r="79" spans="1:16" x14ac:dyDescent="0.2">
      <c r="A79" s="297"/>
      <c r="B79" s="297"/>
      <c r="C79" s="297"/>
      <c r="D79" s="297"/>
      <c r="E79" s="297"/>
      <c r="F79" s="297"/>
      <c r="G79" s="297"/>
      <c r="H79" s="297"/>
      <c r="I79" s="297"/>
      <c r="J79" s="300"/>
      <c r="K79" s="297"/>
      <c r="L79" s="297"/>
      <c r="M79" s="297"/>
      <c r="N79" s="301"/>
      <c r="O79" s="299"/>
    </row>
    <row r="80" spans="1:16" x14ac:dyDescent="0.2">
      <c r="A80" s="278" t="s">
        <v>2957</v>
      </c>
      <c r="B80" s="278"/>
      <c r="C80" s="278"/>
      <c r="D80" s="278"/>
      <c r="E80" s="278"/>
      <c r="F80" s="297"/>
      <c r="G80" s="297"/>
      <c r="H80" s="297"/>
      <c r="I80" s="297"/>
      <c r="J80" s="300"/>
      <c r="K80" s="297"/>
      <c r="L80" s="297"/>
      <c r="M80" s="297"/>
      <c r="N80" s="301"/>
      <c r="O80" s="299"/>
    </row>
    <row r="81" spans="1:17" x14ac:dyDescent="0.2">
      <c r="A81" s="297"/>
      <c r="B81" s="297"/>
      <c r="C81" s="297"/>
      <c r="D81" s="297"/>
      <c r="E81" s="297"/>
      <c r="F81" s="297"/>
      <c r="G81" s="297"/>
      <c r="H81" s="297"/>
      <c r="I81" s="297"/>
      <c r="J81" s="300"/>
      <c r="K81" s="297"/>
      <c r="L81" s="297"/>
      <c r="M81" s="297"/>
      <c r="N81" s="301"/>
      <c r="O81" s="299"/>
    </row>
    <row r="82" spans="1:17" ht="36" x14ac:dyDescent="0.2">
      <c r="A82" s="849" t="s">
        <v>2178</v>
      </c>
      <c r="B82" s="849" t="s">
        <v>2923</v>
      </c>
      <c r="C82" s="849" t="s">
        <v>3948</v>
      </c>
      <c r="D82" s="849" t="s">
        <v>3949</v>
      </c>
      <c r="E82" s="849" t="s">
        <v>2184</v>
      </c>
      <c r="F82" s="849" t="s">
        <v>2240</v>
      </c>
      <c r="G82" s="849" t="s">
        <v>2186</v>
      </c>
      <c r="H82" s="849" t="s">
        <v>2187</v>
      </c>
      <c r="I82" s="849" t="s">
        <v>2207</v>
      </c>
      <c r="J82" s="849" t="s">
        <v>2192</v>
      </c>
      <c r="K82" s="849" t="s">
        <v>2242</v>
      </c>
    </row>
    <row r="83" spans="1:17" ht="24" x14ac:dyDescent="0.2">
      <c r="A83" s="850">
        <v>1</v>
      </c>
      <c r="B83" s="901">
        <v>902</v>
      </c>
      <c r="C83" s="884" t="s">
        <v>2958</v>
      </c>
      <c r="D83" s="884" t="s">
        <v>2909</v>
      </c>
      <c r="E83" s="851" t="s">
        <v>2959</v>
      </c>
      <c r="F83" s="850">
        <v>300</v>
      </c>
      <c r="G83" s="850" t="s">
        <v>2193</v>
      </c>
      <c r="H83" s="887" t="s">
        <v>2960</v>
      </c>
      <c r="I83" s="910">
        <v>199301153.94999999</v>
      </c>
      <c r="J83" s="882" t="s">
        <v>2961</v>
      </c>
      <c r="K83" s="879">
        <v>2013</v>
      </c>
      <c r="P83" s="275" t="s">
        <v>468</v>
      </c>
      <c r="Q83" s="291"/>
    </row>
    <row r="84" spans="1:17" ht="24" x14ac:dyDescent="0.2">
      <c r="A84" s="850">
        <v>2</v>
      </c>
      <c r="B84" s="901">
        <v>906</v>
      </c>
      <c r="C84" s="902" t="s">
        <v>2203</v>
      </c>
      <c r="D84" s="902" t="s">
        <v>2918</v>
      </c>
      <c r="E84" s="851" t="s">
        <v>2962</v>
      </c>
      <c r="F84" s="850">
        <v>50</v>
      </c>
      <c r="G84" s="927" t="s">
        <v>2201</v>
      </c>
      <c r="H84" s="954" t="s">
        <v>2963</v>
      </c>
      <c r="I84" s="910">
        <v>20209522</v>
      </c>
      <c r="J84" s="882" t="s">
        <v>2933</v>
      </c>
      <c r="K84" s="879">
        <v>2013</v>
      </c>
      <c r="Q84" s="291"/>
    </row>
    <row r="85" spans="1:17" ht="24" x14ac:dyDescent="0.2">
      <c r="A85" s="850">
        <v>3</v>
      </c>
      <c r="B85" s="901">
        <v>910</v>
      </c>
      <c r="C85" s="902"/>
      <c r="D85" s="902" t="s">
        <v>2909</v>
      </c>
      <c r="E85" s="851" t="s">
        <v>2964</v>
      </c>
      <c r="F85" s="850">
        <v>900</v>
      </c>
      <c r="G85" s="850" t="s">
        <v>2193</v>
      </c>
      <c r="H85" s="887" t="s">
        <v>2965</v>
      </c>
      <c r="I85" s="910">
        <v>152183547.44999999</v>
      </c>
      <c r="J85" s="955" t="s">
        <v>2933</v>
      </c>
      <c r="K85" s="879">
        <v>2013</v>
      </c>
      <c r="Q85" s="291"/>
    </row>
    <row r="86" spans="1:17" ht="24" x14ac:dyDescent="0.2">
      <c r="A86" s="850">
        <v>4</v>
      </c>
      <c r="B86" s="901" t="s">
        <v>2966</v>
      </c>
      <c r="C86" s="902" t="s">
        <v>2203</v>
      </c>
      <c r="D86" s="902" t="s">
        <v>2967</v>
      </c>
      <c r="E86" s="851" t="s">
        <v>2968</v>
      </c>
      <c r="F86" s="850" t="s">
        <v>2229</v>
      </c>
      <c r="G86" s="927" t="s">
        <v>2193</v>
      </c>
      <c r="H86" s="887" t="s">
        <v>2969</v>
      </c>
      <c r="I86" s="910">
        <v>108105299.5</v>
      </c>
      <c r="J86" s="955" t="s">
        <v>2933</v>
      </c>
      <c r="K86" s="879">
        <v>2013</v>
      </c>
      <c r="Q86" s="291"/>
    </row>
    <row r="87" spans="1:17" ht="24" x14ac:dyDescent="0.2">
      <c r="A87" s="850">
        <v>5</v>
      </c>
      <c r="B87" s="887" t="s">
        <v>2970</v>
      </c>
      <c r="C87" s="902"/>
      <c r="D87" s="902" t="s">
        <v>2909</v>
      </c>
      <c r="E87" s="851" t="s">
        <v>2971</v>
      </c>
      <c r="F87" s="850">
        <v>1536</v>
      </c>
      <c r="G87" s="927" t="s">
        <v>2193</v>
      </c>
      <c r="H87" s="954" t="s">
        <v>2972</v>
      </c>
      <c r="I87" s="910">
        <v>378593759.62</v>
      </c>
      <c r="J87" s="938" t="s">
        <v>2973</v>
      </c>
      <c r="K87" s="879">
        <v>2013</v>
      </c>
      <c r="Q87" s="291"/>
    </row>
    <row r="88" spans="1:17" ht="24" x14ac:dyDescent="0.2">
      <c r="A88" s="850">
        <v>6</v>
      </c>
      <c r="B88" s="879">
        <v>936</v>
      </c>
      <c r="C88" s="902"/>
      <c r="D88" s="902" t="s">
        <v>2909</v>
      </c>
      <c r="E88" s="851" t="s">
        <v>2974</v>
      </c>
      <c r="F88" s="850" t="s">
        <v>2229</v>
      </c>
      <c r="G88" s="927" t="s">
        <v>2201</v>
      </c>
      <c r="H88" s="954" t="s">
        <v>2975</v>
      </c>
      <c r="I88" s="910">
        <v>9621058</v>
      </c>
      <c r="J88" s="938" t="s">
        <v>2976</v>
      </c>
      <c r="K88" s="879">
        <v>2013</v>
      </c>
    </row>
    <row r="89" spans="1:17" ht="24" x14ac:dyDescent="0.2">
      <c r="A89" s="850">
        <v>7</v>
      </c>
      <c r="B89" s="879">
        <v>941</v>
      </c>
      <c r="C89" s="902"/>
      <c r="D89" s="902" t="s">
        <v>2909</v>
      </c>
      <c r="E89" s="851" t="s">
        <v>2977</v>
      </c>
      <c r="F89" s="850">
        <v>125.5</v>
      </c>
      <c r="G89" s="927" t="s">
        <v>2193</v>
      </c>
      <c r="H89" s="887" t="s">
        <v>2978</v>
      </c>
      <c r="I89" s="910">
        <v>120040397.17999999</v>
      </c>
      <c r="J89" s="955" t="s">
        <v>2933</v>
      </c>
      <c r="K89" s="879">
        <v>2013</v>
      </c>
      <c r="P89" s="291"/>
      <c r="Q89" s="291"/>
    </row>
    <row r="90" spans="1:17" ht="36" x14ac:dyDescent="0.2">
      <c r="A90" s="850">
        <v>8</v>
      </c>
      <c r="B90" s="901">
        <v>942</v>
      </c>
      <c r="C90" s="884" t="s">
        <v>2979</v>
      </c>
      <c r="D90" s="884" t="s">
        <v>2909</v>
      </c>
      <c r="E90" s="851" t="s">
        <v>2980</v>
      </c>
      <c r="F90" s="850">
        <v>180</v>
      </c>
      <c r="G90" s="850" t="s">
        <v>2193</v>
      </c>
      <c r="H90" s="887" t="s">
        <v>2981</v>
      </c>
      <c r="I90" s="880">
        <v>73688764.830000013</v>
      </c>
      <c r="J90" s="882" t="s">
        <v>2961</v>
      </c>
      <c r="K90" s="879">
        <v>2013</v>
      </c>
      <c r="L90" s="291"/>
      <c r="M90" s="291"/>
      <c r="N90" s="291"/>
      <c r="O90" s="291"/>
      <c r="P90" s="291"/>
    </row>
    <row r="91" spans="1:17" ht="24" x14ac:dyDescent="0.2">
      <c r="A91" s="850">
        <v>9</v>
      </c>
      <c r="B91" s="901">
        <v>943</v>
      </c>
      <c r="C91" s="884"/>
      <c r="D91" s="884" t="s">
        <v>2918</v>
      </c>
      <c r="E91" s="851" t="s">
        <v>2982</v>
      </c>
      <c r="F91" s="850" t="s">
        <v>2229</v>
      </c>
      <c r="G91" s="850" t="s">
        <v>2193</v>
      </c>
      <c r="H91" s="887" t="s">
        <v>2983</v>
      </c>
      <c r="I91" s="910">
        <v>106306529.57999998</v>
      </c>
      <c r="J91" s="955" t="s">
        <v>2933</v>
      </c>
      <c r="K91" s="879">
        <v>2013</v>
      </c>
      <c r="L91" s="291"/>
      <c r="M91" s="291"/>
      <c r="N91" s="291"/>
      <c r="O91" s="291"/>
      <c r="P91" s="299"/>
    </row>
    <row r="92" spans="1:17" ht="24" x14ac:dyDescent="0.2">
      <c r="A92" s="850">
        <v>10</v>
      </c>
      <c r="B92" s="901">
        <v>944</v>
      </c>
      <c r="C92" s="884"/>
      <c r="D92" s="884" t="s">
        <v>2902</v>
      </c>
      <c r="E92" s="851" t="s">
        <v>2984</v>
      </c>
      <c r="F92" s="850" t="s">
        <v>2229</v>
      </c>
      <c r="G92" s="850" t="s">
        <v>2985</v>
      </c>
      <c r="H92" s="887" t="s">
        <v>2986</v>
      </c>
      <c r="I92" s="910">
        <v>14653000</v>
      </c>
      <c r="J92" s="882"/>
      <c r="K92" s="879">
        <v>2013</v>
      </c>
      <c r="L92" s="297"/>
      <c r="M92" s="297"/>
      <c r="N92" s="301"/>
      <c r="O92" s="299"/>
      <c r="P92" s="291"/>
    </row>
    <row r="93" spans="1:17" x14ac:dyDescent="0.2">
      <c r="A93" s="850">
        <v>11</v>
      </c>
      <c r="B93" s="901">
        <v>922</v>
      </c>
      <c r="C93" s="902"/>
      <c r="D93" s="902" t="s">
        <v>2909</v>
      </c>
      <c r="E93" s="851" t="s">
        <v>2987</v>
      </c>
      <c r="F93" s="850">
        <v>160</v>
      </c>
      <c r="G93" s="927" t="s">
        <v>2193</v>
      </c>
      <c r="H93" s="887" t="s">
        <v>2988</v>
      </c>
      <c r="I93" s="880">
        <v>58593495.390000001</v>
      </c>
      <c r="J93" s="882" t="s">
        <v>2933</v>
      </c>
      <c r="K93" s="879">
        <v>2013</v>
      </c>
      <c r="L93" s="291"/>
      <c r="M93" s="291"/>
      <c r="N93" s="291"/>
      <c r="O93" s="291"/>
      <c r="P93" s="291"/>
    </row>
    <row r="94" spans="1:17" ht="24" x14ac:dyDescent="0.2">
      <c r="A94" s="850">
        <v>12</v>
      </c>
      <c r="B94" s="887" t="s">
        <v>2989</v>
      </c>
      <c r="C94" s="902"/>
      <c r="D94" s="902" t="s">
        <v>2909</v>
      </c>
      <c r="E94" s="851" t="s">
        <v>2990</v>
      </c>
      <c r="F94" s="850">
        <v>275</v>
      </c>
      <c r="G94" s="927" t="s">
        <v>2193</v>
      </c>
      <c r="H94" s="954" t="s">
        <v>2991</v>
      </c>
      <c r="I94" s="880">
        <v>200845844.68999997</v>
      </c>
      <c r="J94" s="882" t="s">
        <v>2936</v>
      </c>
      <c r="K94" s="879">
        <v>2013</v>
      </c>
      <c r="L94" s="291"/>
      <c r="M94" s="291"/>
      <c r="N94" s="291"/>
      <c r="O94" s="291"/>
    </row>
    <row r="95" spans="1:17" ht="24" x14ac:dyDescent="0.2">
      <c r="A95" s="850">
        <v>13</v>
      </c>
      <c r="B95" s="901">
        <v>966</v>
      </c>
      <c r="C95" s="902"/>
      <c r="D95" s="902" t="s">
        <v>2918</v>
      </c>
      <c r="E95" s="851" t="s">
        <v>2992</v>
      </c>
      <c r="F95" s="850">
        <v>1100</v>
      </c>
      <c r="G95" s="927" t="s">
        <v>2993</v>
      </c>
      <c r="H95" s="954" t="s">
        <v>2994</v>
      </c>
      <c r="I95" s="880">
        <v>377713013.18000001</v>
      </c>
      <c r="J95" s="882" t="s">
        <v>2936</v>
      </c>
      <c r="K95" s="879">
        <v>2013</v>
      </c>
      <c r="P95" s="291"/>
    </row>
    <row r="96" spans="1:17" ht="48" x14ac:dyDescent="0.2">
      <c r="A96" s="850">
        <v>14</v>
      </c>
      <c r="B96" s="901">
        <v>973</v>
      </c>
      <c r="C96" s="884"/>
      <c r="D96" s="884"/>
      <c r="E96" s="851" t="s">
        <v>2995</v>
      </c>
      <c r="F96" s="850">
        <v>22</v>
      </c>
      <c r="G96" s="850" t="s">
        <v>2229</v>
      </c>
      <c r="H96" s="887" t="s">
        <v>2229</v>
      </c>
      <c r="I96" s="910">
        <v>20000000</v>
      </c>
      <c r="J96" s="955" t="s">
        <v>2996</v>
      </c>
      <c r="K96" s="879">
        <v>2013</v>
      </c>
      <c r="L96" s="291"/>
      <c r="M96" s="291"/>
      <c r="N96" s="291"/>
      <c r="O96" s="291"/>
    </row>
    <row r="97" spans="1:11" ht="24" x14ac:dyDescent="0.2">
      <c r="A97" s="850">
        <v>15</v>
      </c>
      <c r="B97" s="901">
        <v>973</v>
      </c>
      <c r="C97" s="902"/>
      <c r="D97" s="902" t="s">
        <v>2909</v>
      </c>
      <c r="E97" s="851" t="s">
        <v>2997</v>
      </c>
      <c r="F97" s="850">
        <v>270</v>
      </c>
      <c r="G97" s="927" t="s">
        <v>2193</v>
      </c>
      <c r="H97" s="887" t="s">
        <v>2998</v>
      </c>
      <c r="I97" s="880">
        <v>50914378.379999995</v>
      </c>
      <c r="J97" s="882" t="s">
        <v>2933</v>
      </c>
      <c r="K97" s="879">
        <v>2013</v>
      </c>
    </row>
    <row r="98" spans="1:11" ht="24" x14ac:dyDescent="0.2">
      <c r="A98" s="850">
        <v>16</v>
      </c>
      <c r="B98" s="901">
        <v>973</v>
      </c>
      <c r="C98" s="902" t="s">
        <v>2999</v>
      </c>
      <c r="D98" s="902" t="s">
        <v>2918</v>
      </c>
      <c r="E98" s="851" t="s">
        <v>3000</v>
      </c>
      <c r="F98" s="850">
        <v>52</v>
      </c>
      <c r="G98" s="927" t="s">
        <v>2193</v>
      </c>
      <c r="H98" s="954" t="s">
        <v>3001</v>
      </c>
      <c r="I98" s="880">
        <v>31095873</v>
      </c>
      <c r="J98" s="955" t="s">
        <v>2961</v>
      </c>
      <c r="K98" s="879">
        <v>2013</v>
      </c>
    </row>
    <row r="99" spans="1:11" ht="24" x14ac:dyDescent="0.2">
      <c r="A99" s="850">
        <v>17</v>
      </c>
      <c r="B99" s="901">
        <v>979</v>
      </c>
      <c r="C99" s="902" t="s">
        <v>3002</v>
      </c>
      <c r="D99" s="902" t="s">
        <v>2909</v>
      </c>
      <c r="E99" s="851" t="s">
        <v>3003</v>
      </c>
      <c r="F99" s="850">
        <v>85</v>
      </c>
      <c r="G99" s="927" t="s">
        <v>2193</v>
      </c>
      <c r="H99" s="887" t="s">
        <v>3004</v>
      </c>
      <c r="I99" s="880">
        <v>44495515.729999997</v>
      </c>
      <c r="J99" s="955" t="s">
        <v>2961</v>
      </c>
      <c r="K99" s="879">
        <v>2013</v>
      </c>
    </row>
    <row r="100" spans="1:11" ht="24" x14ac:dyDescent="0.2">
      <c r="A100" s="850">
        <v>18</v>
      </c>
      <c r="B100" s="901">
        <v>982</v>
      </c>
      <c r="C100" s="902"/>
      <c r="D100" s="902" t="s">
        <v>2918</v>
      </c>
      <c r="E100" s="851" t="s">
        <v>3005</v>
      </c>
      <c r="F100" s="850">
        <v>1340</v>
      </c>
      <c r="G100" s="927" t="s">
        <v>2193</v>
      </c>
      <c r="H100" s="887" t="s">
        <v>2994</v>
      </c>
      <c r="I100" s="910">
        <v>135521926</v>
      </c>
      <c r="J100" s="938" t="s">
        <v>2976</v>
      </c>
      <c r="K100" s="879">
        <v>2013</v>
      </c>
    </row>
    <row r="101" spans="1:11" ht="36" x14ac:dyDescent="0.2">
      <c r="A101" s="850">
        <v>19</v>
      </c>
      <c r="B101" s="901">
        <v>984</v>
      </c>
      <c r="C101" s="902"/>
      <c r="D101" s="902" t="s">
        <v>2909</v>
      </c>
      <c r="E101" s="851" t="s">
        <v>3006</v>
      </c>
      <c r="F101" s="850">
        <v>210</v>
      </c>
      <c r="G101" s="927" t="s">
        <v>2193</v>
      </c>
      <c r="H101" s="887" t="s">
        <v>3007</v>
      </c>
      <c r="I101" s="880">
        <v>106331272.43000001</v>
      </c>
      <c r="J101" s="882" t="s">
        <v>2933</v>
      </c>
      <c r="K101" s="879">
        <v>2013</v>
      </c>
    </row>
    <row r="102" spans="1:11" ht="24" x14ac:dyDescent="0.2">
      <c r="A102" s="850">
        <v>20</v>
      </c>
      <c r="B102" s="901">
        <v>987</v>
      </c>
      <c r="C102" s="902"/>
      <c r="D102" s="902" t="s">
        <v>2909</v>
      </c>
      <c r="E102" s="851" t="s">
        <v>3008</v>
      </c>
      <c r="F102" s="850" t="s">
        <v>2229</v>
      </c>
      <c r="G102" s="927" t="s">
        <v>2993</v>
      </c>
      <c r="H102" s="954" t="s">
        <v>3009</v>
      </c>
      <c r="I102" s="910">
        <v>46453770</v>
      </c>
      <c r="J102" s="882" t="s">
        <v>2933</v>
      </c>
      <c r="K102" s="879">
        <v>2013</v>
      </c>
    </row>
    <row r="103" spans="1:11" x14ac:dyDescent="0.2">
      <c r="E103" s="890" t="s">
        <v>2181</v>
      </c>
      <c r="F103" s="919">
        <f>SUM(F83:F102)</f>
        <v>6605.5</v>
      </c>
      <c r="H103" s="890" t="s">
        <v>2181</v>
      </c>
      <c r="I103" s="921">
        <f>SUM(I83:I102)</f>
        <v>2254668120.9099998</v>
      </c>
    </row>
    <row r="109" spans="1:11" x14ac:dyDescent="0.2">
      <c r="A109" s="302" t="s">
        <v>3010</v>
      </c>
      <c r="B109" s="278"/>
      <c r="C109" s="278"/>
      <c r="D109" s="278"/>
      <c r="E109" s="278"/>
    </row>
    <row r="111" spans="1:11" ht="36" x14ac:dyDescent="0.2">
      <c r="A111" s="849" t="s">
        <v>2178</v>
      </c>
      <c r="B111" s="849" t="s">
        <v>2923</v>
      </c>
      <c r="C111" s="849" t="s">
        <v>3948</v>
      </c>
      <c r="D111" s="849" t="s">
        <v>3949</v>
      </c>
      <c r="E111" s="849" t="s">
        <v>2184</v>
      </c>
      <c r="F111" s="849" t="s">
        <v>2240</v>
      </c>
      <c r="G111" s="849" t="s">
        <v>2186</v>
      </c>
      <c r="H111" s="849" t="s">
        <v>2187</v>
      </c>
      <c r="I111" s="849" t="s">
        <v>2207</v>
      </c>
      <c r="J111" s="849" t="s">
        <v>2192</v>
      </c>
      <c r="K111" s="849" t="s">
        <v>2242</v>
      </c>
    </row>
    <row r="112" spans="1:11" ht="24" x14ac:dyDescent="0.2">
      <c r="A112" s="850">
        <v>1</v>
      </c>
      <c r="B112" s="901">
        <v>907</v>
      </c>
      <c r="C112" s="884"/>
      <c r="D112" s="884"/>
      <c r="E112" s="851" t="s">
        <v>3011</v>
      </c>
      <c r="F112" s="850">
        <v>480</v>
      </c>
      <c r="G112" s="850" t="s">
        <v>2193</v>
      </c>
      <c r="H112" s="887" t="s">
        <v>3012</v>
      </c>
      <c r="I112" s="910">
        <v>165693997.71000001</v>
      </c>
      <c r="J112" s="955" t="s">
        <v>2933</v>
      </c>
      <c r="K112" s="879">
        <v>2012</v>
      </c>
    </row>
    <row r="113" spans="1:11" ht="24" x14ac:dyDescent="0.2">
      <c r="A113" s="850">
        <v>2</v>
      </c>
      <c r="B113" s="901">
        <v>938</v>
      </c>
      <c r="C113" s="884" t="s">
        <v>3013</v>
      </c>
      <c r="D113" s="884"/>
      <c r="E113" s="851" t="s">
        <v>3014</v>
      </c>
      <c r="F113" s="850" t="s">
        <v>2229</v>
      </c>
      <c r="G113" s="850" t="s">
        <v>2201</v>
      </c>
      <c r="H113" s="887" t="s">
        <v>3015</v>
      </c>
      <c r="I113" s="910">
        <v>21161958.039999999</v>
      </c>
      <c r="J113" s="955" t="s">
        <v>2659</v>
      </c>
      <c r="K113" s="879">
        <v>2012</v>
      </c>
    </row>
    <row r="114" spans="1:11" ht="24" x14ac:dyDescent="0.2">
      <c r="A114" s="850">
        <v>3</v>
      </c>
      <c r="B114" s="879">
        <v>945</v>
      </c>
      <c r="C114" s="902"/>
      <c r="D114" s="902"/>
      <c r="E114" s="851" t="s">
        <v>3016</v>
      </c>
      <c r="F114" s="850"/>
      <c r="G114" s="927" t="s">
        <v>3017</v>
      </c>
      <c r="H114" s="887" t="s">
        <v>3018</v>
      </c>
      <c r="I114" s="880">
        <v>1323015266.7600002</v>
      </c>
      <c r="J114" s="882" t="s">
        <v>2659</v>
      </c>
      <c r="K114" s="879">
        <v>2012</v>
      </c>
    </row>
    <row r="115" spans="1:11" ht="60" x14ac:dyDescent="0.2">
      <c r="A115" s="850">
        <v>4</v>
      </c>
      <c r="B115" s="901">
        <v>973</v>
      </c>
      <c r="C115" s="884"/>
      <c r="D115" s="884"/>
      <c r="E115" s="851" t="s">
        <v>3019</v>
      </c>
      <c r="F115" s="850">
        <v>120</v>
      </c>
      <c r="G115" s="850" t="s">
        <v>2229</v>
      </c>
      <c r="H115" s="887" t="s">
        <v>2229</v>
      </c>
      <c r="I115" s="910">
        <v>20000000</v>
      </c>
      <c r="J115" s="955" t="s">
        <v>3020</v>
      </c>
      <c r="K115" s="879">
        <v>2012</v>
      </c>
    </row>
    <row r="116" spans="1:11" ht="36" x14ac:dyDescent="0.2">
      <c r="A116" s="850">
        <v>5</v>
      </c>
      <c r="B116" s="901">
        <v>973</v>
      </c>
      <c r="C116" s="884" t="s">
        <v>3021</v>
      </c>
      <c r="D116" s="884"/>
      <c r="E116" s="851" t="s">
        <v>3022</v>
      </c>
      <c r="F116" s="850">
        <v>194</v>
      </c>
      <c r="G116" s="850" t="s">
        <v>2201</v>
      </c>
      <c r="H116" s="954" t="s">
        <v>3023</v>
      </c>
      <c r="I116" s="910">
        <v>19211050</v>
      </c>
      <c r="J116" s="955" t="s">
        <v>2659</v>
      </c>
      <c r="K116" s="879">
        <v>2012</v>
      </c>
    </row>
    <row r="117" spans="1:11" ht="24" x14ac:dyDescent="0.2">
      <c r="A117" s="850">
        <v>6</v>
      </c>
      <c r="B117" s="901">
        <v>973</v>
      </c>
      <c r="C117" s="884" t="s">
        <v>3024</v>
      </c>
      <c r="D117" s="884"/>
      <c r="E117" s="851" t="s">
        <v>3025</v>
      </c>
      <c r="F117" s="850">
        <v>10</v>
      </c>
      <c r="G117" s="850" t="s">
        <v>2201</v>
      </c>
      <c r="H117" s="954" t="s">
        <v>3026</v>
      </c>
      <c r="I117" s="910">
        <v>4488670</v>
      </c>
      <c r="J117" s="955" t="s">
        <v>2659</v>
      </c>
      <c r="K117" s="879">
        <v>2012</v>
      </c>
    </row>
    <row r="118" spans="1:11" ht="24" x14ac:dyDescent="0.2">
      <c r="A118" s="850">
        <v>7</v>
      </c>
      <c r="B118" s="901">
        <v>973</v>
      </c>
      <c r="C118" s="902"/>
      <c r="D118" s="902"/>
      <c r="E118" s="851" t="s">
        <v>3027</v>
      </c>
      <c r="F118" s="850" t="s">
        <v>3028</v>
      </c>
      <c r="G118" s="927" t="s">
        <v>3029</v>
      </c>
      <c r="H118" s="887" t="s">
        <v>3030</v>
      </c>
      <c r="I118" s="880">
        <v>7684601.7300000004</v>
      </c>
      <c r="J118" s="882" t="s">
        <v>2933</v>
      </c>
      <c r="K118" s="879">
        <v>2012</v>
      </c>
    </row>
    <row r="119" spans="1:11" ht="24" x14ac:dyDescent="0.2">
      <c r="A119" s="850">
        <v>8</v>
      </c>
      <c r="B119" s="901">
        <v>976</v>
      </c>
      <c r="C119" s="902"/>
      <c r="D119" s="902"/>
      <c r="E119" s="851" t="s">
        <v>3031</v>
      </c>
      <c r="F119" s="850">
        <v>527</v>
      </c>
      <c r="G119" s="927" t="s">
        <v>2193</v>
      </c>
      <c r="H119" s="887" t="s">
        <v>3032</v>
      </c>
      <c r="I119" s="880">
        <v>173743802.62000003</v>
      </c>
      <c r="J119" s="882" t="s">
        <v>2933</v>
      </c>
      <c r="K119" s="879">
        <v>2012</v>
      </c>
    </row>
    <row r="120" spans="1:11" x14ac:dyDescent="0.2">
      <c r="E120" s="890" t="s">
        <v>2181</v>
      </c>
      <c r="F120" s="919">
        <f>SUM(F112:F119)</f>
        <v>1331</v>
      </c>
      <c r="H120" s="890" t="s">
        <v>2181</v>
      </c>
      <c r="I120" s="921">
        <f>SUM(I112:I119)</f>
        <v>1734999346.8600004</v>
      </c>
    </row>
  </sheetData>
  <mergeCells count="1">
    <mergeCell ref="A1:K3"/>
  </mergeCells>
  <phoneticPr fontId="7" type="noConversion"/>
  <conditionalFormatting sqref="N46 N37:O37 N62 M63:N73 L38:P38 L40:P41">
    <cfRule type="expression" dxfId="4" priority="5" stopIfTrue="1">
      <formula>#REF! &lt;= (25% *#REF!)</formula>
    </cfRule>
  </conditionalFormatting>
  <conditionalFormatting sqref="K17">
    <cfRule type="expression" dxfId="3" priority="4" stopIfTrue="1">
      <formula>#REF! &lt;= (25% *#REF!)</formula>
    </cfRule>
  </conditionalFormatting>
  <conditionalFormatting sqref="K18">
    <cfRule type="expression" dxfId="2" priority="3" stopIfTrue="1">
      <formula>#REF! &lt;= (25% *#REF!)</formula>
    </cfRule>
  </conditionalFormatting>
  <conditionalFormatting sqref="M39:N39 R39:S39">
    <cfRule type="expression" dxfId="1" priority="2" stopIfTrue="1">
      <formula>#REF! &lt;= (25% *#REF!)</formula>
    </cfRule>
  </conditionalFormatting>
  <conditionalFormatting sqref="N23 P23:R23">
    <cfRule type="expression" dxfId="0" priority="1" stopIfTrue="1">
      <formula>#REF! &lt;= (25% *#REF!)</formula>
    </cfRule>
  </conditionalFormatting>
  <hyperlinks>
    <hyperlink ref="E46" location="'81'!A1" display="CONSTRUCCIÓN HOSPITAL DE LA MUJER"/>
  </hyperlinks>
  <pageMargins left="1.299212598425197" right="0.70866141732283472" top="0.98425196850393704" bottom="0.55118110236220474" header="0.31496062992125984" footer="0.31496062992125984"/>
  <pageSetup paperSize="9" scale="70" orientation="landscape" r:id="rId1"/>
  <headerFooter>
    <oddFooter>&amp;C&amp;P</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L49"/>
  <sheetViews>
    <sheetView topLeftCell="A6" zoomScale="80" zoomScaleNormal="80" zoomScalePageLayoutView="80" workbookViewId="0">
      <selection activeCell="G36" sqref="G36"/>
    </sheetView>
  </sheetViews>
  <sheetFormatPr baseColWidth="10" defaultRowHeight="12.75" x14ac:dyDescent="0.2"/>
  <cols>
    <col min="1" max="1" width="37.42578125" style="17" customWidth="1"/>
    <col min="2" max="2" width="13.42578125" style="17" bestFit="1" customWidth="1"/>
    <col min="3" max="3" width="19.28515625" style="17" bestFit="1" customWidth="1"/>
    <col min="4" max="4" width="17.85546875" style="17" bestFit="1" customWidth="1"/>
    <col min="5" max="5" width="13.140625" style="17" customWidth="1"/>
    <col min="6" max="6" width="17.140625" style="17" bestFit="1" customWidth="1"/>
    <col min="7" max="7" width="15.28515625" style="17" bestFit="1" customWidth="1"/>
    <col min="8" max="8" width="10.85546875" style="17" bestFit="1" customWidth="1"/>
    <col min="9" max="9" width="13" style="17" bestFit="1" customWidth="1"/>
    <col min="10" max="10" width="15.28515625" style="15" bestFit="1" customWidth="1"/>
    <col min="11" max="11" width="14.42578125" style="17" bestFit="1" customWidth="1"/>
    <col min="12" max="12" width="13.42578125" style="17" bestFit="1" customWidth="1"/>
    <col min="13" max="256" width="10.85546875" style="17"/>
    <col min="257" max="257" width="37.85546875" style="17" customWidth="1"/>
    <col min="258" max="258" width="14.85546875" style="17" customWidth="1"/>
    <col min="259" max="259" width="13.42578125" style="17" customWidth="1"/>
    <col min="260" max="260" width="13.28515625" style="17" customWidth="1"/>
    <col min="261" max="261" width="14.7109375" style="17" customWidth="1"/>
    <col min="262" max="262" width="15.42578125" style="17" customWidth="1"/>
    <col min="263" max="263" width="14.42578125" style="17" customWidth="1"/>
    <col min="264" max="264" width="15.42578125" style="17" customWidth="1"/>
    <col min="265" max="265" width="16.140625" style="17" customWidth="1"/>
    <col min="266" max="266" width="20.140625" style="17" customWidth="1"/>
    <col min="267" max="512" width="10.85546875" style="17"/>
    <col min="513" max="513" width="37.85546875" style="17" customWidth="1"/>
    <col min="514" max="514" width="14.85546875" style="17" customWidth="1"/>
    <col min="515" max="515" width="13.42578125" style="17" customWidth="1"/>
    <col min="516" max="516" width="13.28515625" style="17" customWidth="1"/>
    <col min="517" max="517" width="14.7109375" style="17" customWidth="1"/>
    <col min="518" max="518" width="15.42578125" style="17" customWidth="1"/>
    <col min="519" max="519" width="14.42578125" style="17" customWidth="1"/>
    <col min="520" max="520" width="15.42578125" style="17" customWidth="1"/>
    <col min="521" max="521" width="16.140625" style="17" customWidth="1"/>
    <col min="522" max="522" width="20.140625" style="17" customWidth="1"/>
    <col min="523" max="768" width="10.85546875" style="17"/>
    <col min="769" max="769" width="37.85546875" style="17" customWidth="1"/>
    <col min="770" max="770" width="14.85546875" style="17" customWidth="1"/>
    <col min="771" max="771" width="13.42578125" style="17" customWidth="1"/>
    <col min="772" max="772" width="13.28515625" style="17" customWidth="1"/>
    <col min="773" max="773" width="14.7109375" style="17" customWidth="1"/>
    <col min="774" max="774" width="15.42578125" style="17" customWidth="1"/>
    <col min="775" max="775" width="14.42578125" style="17" customWidth="1"/>
    <col min="776" max="776" width="15.42578125" style="17" customWidth="1"/>
    <col min="777" max="777" width="16.140625" style="17" customWidth="1"/>
    <col min="778" max="778" width="20.140625" style="17" customWidth="1"/>
    <col min="779" max="1024" width="10.85546875" style="17"/>
    <col min="1025" max="1025" width="37.85546875" style="17" customWidth="1"/>
    <col min="1026" max="1026" width="14.85546875" style="17" customWidth="1"/>
    <col min="1027" max="1027" width="13.42578125" style="17" customWidth="1"/>
    <col min="1028" max="1028" width="13.28515625" style="17" customWidth="1"/>
    <col min="1029" max="1029" width="14.7109375" style="17" customWidth="1"/>
    <col min="1030" max="1030" width="15.42578125" style="17" customWidth="1"/>
    <col min="1031" max="1031" width="14.42578125" style="17" customWidth="1"/>
    <col min="1032" max="1032" width="15.42578125" style="17" customWidth="1"/>
    <col min="1033" max="1033" width="16.140625" style="17" customWidth="1"/>
    <col min="1034" max="1034" width="20.140625" style="17" customWidth="1"/>
    <col min="1035" max="1280" width="10.85546875" style="17"/>
    <col min="1281" max="1281" width="37.85546875" style="17" customWidth="1"/>
    <col min="1282" max="1282" width="14.85546875" style="17" customWidth="1"/>
    <col min="1283" max="1283" width="13.42578125" style="17" customWidth="1"/>
    <col min="1284" max="1284" width="13.28515625" style="17" customWidth="1"/>
    <col min="1285" max="1285" width="14.7109375" style="17" customWidth="1"/>
    <col min="1286" max="1286" width="15.42578125" style="17" customWidth="1"/>
    <col min="1287" max="1287" width="14.42578125" style="17" customWidth="1"/>
    <col min="1288" max="1288" width="15.42578125" style="17" customWidth="1"/>
    <col min="1289" max="1289" width="16.140625" style="17" customWidth="1"/>
    <col min="1290" max="1290" width="20.140625" style="17" customWidth="1"/>
    <col min="1291" max="1536" width="10.85546875" style="17"/>
    <col min="1537" max="1537" width="37.85546875" style="17" customWidth="1"/>
    <col min="1538" max="1538" width="14.85546875" style="17" customWidth="1"/>
    <col min="1539" max="1539" width="13.42578125" style="17" customWidth="1"/>
    <col min="1540" max="1540" width="13.28515625" style="17" customWidth="1"/>
    <col min="1541" max="1541" width="14.7109375" style="17" customWidth="1"/>
    <col min="1542" max="1542" width="15.42578125" style="17" customWidth="1"/>
    <col min="1543" max="1543" width="14.42578125" style="17" customWidth="1"/>
    <col min="1544" max="1544" width="15.42578125" style="17" customWidth="1"/>
    <col min="1545" max="1545" width="16.140625" style="17" customWidth="1"/>
    <col min="1546" max="1546" width="20.140625" style="17" customWidth="1"/>
    <col min="1547" max="1792" width="10.85546875" style="17"/>
    <col min="1793" max="1793" width="37.85546875" style="17" customWidth="1"/>
    <col min="1794" max="1794" width="14.85546875" style="17" customWidth="1"/>
    <col min="1795" max="1795" width="13.42578125" style="17" customWidth="1"/>
    <col min="1796" max="1796" width="13.28515625" style="17" customWidth="1"/>
    <col min="1797" max="1797" width="14.7109375" style="17" customWidth="1"/>
    <col min="1798" max="1798" width="15.42578125" style="17" customWidth="1"/>
    <col min="1799" max="1799" width="14.42578125" style="17" customWidth="1"/>
    <col min="1800" max="1800" width="15.42578125" style="17" customWidth="1"/>
    <col min="1801" max="1801" width="16.140625" style="17" customWidth="1"/>
    <col min="1802" max="1802" width="20.140625" style="17" customWidth="1"/>
    <col min="1803" max="2048" width="10.85546875" style="17"/>
    <col min="2049" max="2049" width="37.85546875" style="17" customWidth="1"/>
    <col min="2050" max="2050" width="14.85546875" style="17" customWidth="1"/>
    <col min="2051" max="2051" width="13.42578125" style="17" customWidth="1"/>
    <col min="2052" max="2052" width="13.28515625" style="17" customWidth="1"/>
    <col min="2053" max="2053" width="14.7109375" style="17" customWidth="1"/>
    <col min="2054" max="2054" width="15.42578125" style="17" customWidth="1"/>
    <col min="2055" max="2055" width="14.42578125" style="17" customWidth="1"/>
    <col min="2056" max="2056" width="15.42578125" style="17" customWidth="1"/>
    <col min="2057" max="2057" width="16.140625" style="17" customWidth="1"/>
    <col min="2058" max="2058" width="20.140625" style="17" customWidth="1"/>
    <col min="2059" max="2304" width="10.85546875" style="17"/>
    <col min="2305" max="2305" width="37.85546875" style="17" customWidth="1"/>
    <col min="2306" max="2306" width="14.85546875" style="17" customWidth="1"/>
    <col min="2307" max="2307" width="13.42578125" style="17" customWidth="1"/>
    <col min="2308" max="2308" width="13.28515625" style="17" customWidth="1"/>
    <col min="2309" max="2309" width="14.7109375" style="17" customWidth="1"/>
    <col min="2310" max="2310" width="15.42578125" style="17" customWidth="1"/>
    <col min="2311" max="2311" width="14.42578125" style="17" customWidth="1"/>
    <col min="2312" max="2312" width="15.42578125" style="17" customWidth="1"/>
    <col min="2313" max="2313" width="16.140625" style="17" customWidth="1"/>
    <col min="2314" max="2314" width="20.140625" style="17" customWidth="1"/>
    <col min="2315" max="2560" width="10.85546875" style="17"/>
    <col min="2561" max="2561" width="37.85546875" style="17" customWidth="1"/>
    <col min="2562" max="2562" width="14.85546875" style="17" customWidth="1"/>
    <col min="2563" max="2563" width="13.42578125" style="17" customWidth="1"/>
    <col min="2564" max="2564" width="13.28515625" style="17" customWidth="1"/>
    <col min="2565" max="2565" width="14.7109375" style="17" customWidth="1"/>
    <col min="2566" max="2566" width="15.42578125" style="17" customWidth="1"/>
    <col min="2567" max="2567" width="14.42578125" style="17" customWidth="1"/>
    <col min="2568" max="2568" width="15.42578125" style="17" customWidth="1"/>
    <col min="2569" max="2569" width="16.140625" style="17" customWidth="1"/>
    <col min="2570" max="2570" width="20.140625" style="17" customWidth="1"/>
    <col min="2571" max="2816" width="10.85546875" style="17"/>
    <col min="2817" max="2817" width="37.85546875" style="17" customWidth="1"/>
    <col min="2818" max="2818" width="14.85546875" style="17" customWidth="1"/>
    <col min="2819" max="2819" width="13.42578125" style="17" customWidth="1"/>
    <col min="2820" max="2820" width="13.28515625" style="17" customWidth="1"/>
    <col min="2821" max="2821" width="14.7109375" style="17" customWidth="1"/>
    <col min="2822" max="2822" width="15.42578125" style="17" customWidth="1"/>
    <col min="2823" max="2823" width="14.42578125" style="17" customWidth="1"/>
    <col min="2824" max="2824" width="15.42578125" style="17" customWidth="1"/>
    <col min="2825" max="2825" width="16.140625" style="17" customWidth="1"/>
    <col min="2826" max="2826" width="20.140625" style="17" customWidth="1"/>
    <col min="2827" max="3072" width="10.85546875" style="17"/>
    <col min="3073" max="3073" width="37.85546875" style="17" customWidth="1"/>
    <col min="3074" max="3074" width="14.85546875" style="17" customWidth="1"/>
    <col min="3075" max="3075" width="13.42578125" style="17" customWidth="1"/>
    <col min="3076" max="3076" width="13.28515625" style="17" customWidth="1"/>
    <col min="3077" max="3077" width="14.7109375" style="17" customWidth="1"/>
    <col min="3078" max="3078" width="15.42578125" style="17" customWidth="1"/>
    <col min="3079" max="3079" width="14.42578125" style="17" customWidth="1"/>
    <col min="3080" max="3080" width="15.42578125" style="17" customWidth="1"/>
    <col min="3081" max="3081" width="16.140625" style="17" customWidth="1"/>
    <col min="3082" max="3082" width="20.140625" style="17" customWidth="1"/>
    <col min="3083" max="3328" width="10.85546875" style="17"/>
    <col min="3329" max="3329" width="37.85546875" style="17" customWidth="1"/>
    <col min="3330" max="3330" width="14.85546875" style="17" customWidth="1"/>
    <col min="3331" max="3331" width="13.42578125" style="17" customWidth="1"/>
    <col min="3332" max="3332" width="13.28515625" style="17" customWidth="1"/>
    <col min="3333" max="3333" width="14.7109375" style="17" customWidth="1"/>
    <col min="3334" max="3334" width="15.42578125" style="17" customWidth="1"/>
    <col min="3335" max="3335" width="14.42578125" style="17" customWidth="1"/>
    <col min="3336" max="3336" width="15.42578125" style="17" customWidth="1"/>
    <col min="3337" max="3337" width="16.140625" style="17" customWidth="1"/>
    <col min="3338" max="3338" width="20.140625" style="17" customWidth="1"/>
    <col min="3339" max="3584" width="10.85546875" style="17"/>
    <col min="3585" max="3585" width="37.85546875" style="17" customWidth="1"/>
    <col min="3586" max="3586" width="14.85546875" style="17" customWidth="1"/>
    <col min="3587" max="3587" width="13.42578125" style="17" customWidth="1"/>
    <col min="3588" max="3588" width="13.28515625" style="17" customWidth="1"/>
    <col min="3589" max="3589" width="14.7109375" style="17" customWidth="1"/>
    <col min="3590" max="3590" width="15.42578125" style="17" customWidth="1"/>
    <col min="3591" max="3591" width="14.42578125" style="17" customWidth="1"/>
    <col min="3592" max="3592" width="15.42578125" style="17" customWidth="1"/>
    <col min="3593" max="3593" width="16.140625" style="17" customWidth="1"/>
    <col min="3594" max="3594" width="20.140625" style="17" customWidth="1"/>
    <col min="3595" max="3840" width="10.85546875" style="17"/>
    <col min="3841" max="3841" width="37.85546875" style="17" customWidth="1"/>
    <col min="3842" max="3842" width="14.85546875" style="17" customWidth="1"/>
    <col min="3843" max="3843" width="13.42578125" style="17" customWidth="1"/>
    <col min="3844" max="3844" width="13.28515625" style="17" customWidth="1"/>
    <col min="3845" max="3845" width="14.7109375" style="17" customWidth="1"/>
    <col min="3846" max="3846" width="15.42578125" style="17" customWidth="1"/>
    <col min="3847" max="3847" width="14.42578125" style="17" customWidth="1"/>
    <col min="3848" max="3848" width="15.42578125" style="17" customWidth="1"/>
    <col min="3849" max="3849" width="16.140625" style="17" customWidth="1"/>
    <col min="3850" max="3850" width="20.140625" style="17" customWidth="1"/>
    <col min="3851" max="4096" width="10.85546875" style="17"/>
    <col min="4097" max="4097" width="37.85546875" style="17" customWidth="1"/>
    <col min="4098" max="4098" width="14.85546875" style="17" customWidth="1"/>
    <col min="4099" max="4099" width="13.42578125" style="17" customWidth="1"/>
    <col min="4100" max="4100" width="13.28515625" style="17" customWidth="1"/>
    <col min="4101" max="4101" width="14.7109375" style="17" customWidth="1"/>
    <col min="4102" max="4102" width="15.42578125" style="17" customWidth="1"/>
    <col min="4103" max="4103" width="14.42578125" style="17" customWidth="1"/>
    <col min="4104" max="4104" width="15.42578125" style="17" customWidth="1"/>
    <col min="4105" max="4105" width="16.140625" style="17" customWidth="1"/>
    <col min="4106" max="4106" width="20.140625" style="17" customWidth="1"/>
    <col min="4107" max="4352" width="10.85546875" style="17"/>
    <col min="4353" max="4353" width="37.85546875" style="17" customWidth="1"/>
    <col min="4354" max="4354" width="14.85546875" style="17" customWidth="1"/>
    <col min="4355" max="4355" width="13.42578125" style="17" customWidth="1"/>
    <col min="4356" max="4356" width="13.28515625" style="17" customWidth="1"/>
    <col min="4357" max="4357" width="14.7109375" style="17" customWidth="1"/>
    <col min="4358" max="4358" width="15.42578125" style="17" customWidth="1"/>
    <col min="4359" max="4359" width="14.42578125" style="17" customWidth="1"/>
    <col min="4360" max="4360" width="15.42578125" style="17" customWidth="1"/>
    <col min="4361" max="4361" width="16.140625" style="17" customWidth="1"/>
    <col min="4362" max="4362" width="20.140625" style="17" customWidth="1"/>
    <col min="4363" max="4608" width="10.85546875" style="17"/>
    <col min="4609" max="4609" width="37.85546875" style="17" customWidth="1"/>
    <col min="4610" max="4610" width="14.85546875" style="17" customWidth="1"/>
    <col min="4611" max="4611" width="13.42578125" style="17" customWidth="1"/>
    <col min="4612" max="4612" width="13.28515625" style="17" customWidth="1"/>
    <col min="4613" max="4613" width="14.7109375" style="17" customWidth="1"/>
    <col min="4614" max="4614" width="15.42578125" style="17" customWidth="1"/>
    <col min="4615" max="4615" width="14.42578125" style="17" customWidth="1"/>
    <col min="4616" max="4616" width="15.42578125" style="17" customWidth="1"/>
    <col min="4617" max="4617" width="16.140625" style="17" customWidth="1"/>
    <col min="4618" max="4618" width="20.140625" style="17" customWidth="1"/>
    <col min="4619" max="4864" width="10.85546875" style="17"/>
    <col min="4865" max="4865" width="37.85546875" style="17" customWidth="1"/>
    <col min="4866" max="4866" width="14.85546875" style="17" customWidth="1"/>
    <col min="4867" max="4867" width="13.42578125" style="17" customWidth="1"/>
    <col min="4868" max="4868" width="13.28515625" style="17" customWidth="1"/>
    <col min="4869" max="4869" width="14.7109375" style="17" customWidth="1"/>
    <col min="4870" max="4870" width="15.42578125" style="17" customWidth="1"/>
    <col min="4871" max="4871" width="14.42578125" style="17" customWidth="1"/>
    <col min="4872" max="4872" width="15.42578125" style="17" customWidth="1"/>
    <col min="4873" max="4873" width="16.140625" style="17" customWidth="1"/>
    <col min="4874" max="4874" width="20.140625" style="17" customWidth="1"/>
    <col min="4875" max="5120" width="10.85546875" style="17"/>
    <col min="5121" max="5121" width="37.85546875" style="17" customWidth="1"/>
    <col min="5122" max="5122" width="14.85546875" style="17" customWidth="1"/>
    <col min="5123" max="5123" width="13.42578125" style="17" customWidth="1"/>
    <col min="5124" max="5124" width="13.28515625" style="17" customWidth="1"/>
    <col min="5125" max="5125" width="14.7109375" style="17" customWidth="1"/>
    <col min="5126" max="5126" width="15.42578125" style="17" customWidth="1"/>
    <col min="5127" max="5127" width="14.42578125" style="17" customWidth="1"/>
    <col min="5128" max="5128" width="15.42578125" style="17" customWidth="1"/>
    <col min="5129" max="5129" width="16.140625" style="17" customWidth="1"/>
    <col min="5130" max="5130" width="20.140625" style="17" customWidth="1"/>
    <col min="5131" max="5376" width="10.85546875" style="17"/>
    <col min="5377" max="5377" width="37.85546875" style="17" customWidth="1"/>
    <col min="5378" max="5378" width="14.85546875" style="17" customWidth="1"/>
    <col min="5379" max="5379" width="13.42578125" style="17" customWidth="1"/>
    <col min="5380" max="5380" width="13.28515625" style="17" customWidth="1"/>
    <col min="5381" max="5381" width="14.7109375" style="17" customWidth="1"/>
    <col min="5382" max="5382" width="15.42578125" style="17" customWidth="1"/>
    <col min="5383" max="5383" width="14.42578125" style="17" customWidth="1"/>
    <col min="5384" max="5384" width="15.42578125" style="17" customWidth="1"/>
    <col min="5385" max="5385" width="16.140625" style="17" customWidth="1"/>
    <col min="5386" max="5386" width="20.140625" style="17" customWidth="1"/>
    <col min="5387" max="5632" width="10.85546875" style="17"/>
    <col min="5633" max="5633" width="37.85546875" style="17" customWidth="1"/>
    <col min="5634" max="5634" width="14.85546875" style="17" customWidth="1"/>
    <col min="5635" max="5635" width="13.42578125" style="17" customWidth="1"/>
    <col min="5636" max="5636" width="13.28515625" style="17" customWidth="1"/>
    <col min="5637" max="5637" width="14.7109375" style="17" customWidth="1"/>
    <col min="5638" max="5638" width="15.42578125" style="17" customWidth="1"/>
    <col min="5639" max="5639" width="14.42578125" style="17" customWidth="1"/>
    <col min="5640" max="5640" width="15.42578125" style="17" customWidth="1"/>
    <col min="5641" max="5641" width="16.140625" style="17" customWidth="1"/>
    <col min="5642" max="5642" width="20.140625" style="17" customWidth="1"/>
    <col min="5643" max="5888" width="10.85546875" style="17"/>
    <col min="5889" max="5889" width="37.85546875" style="17" customWidth="1"/>
    <col min="5890" max="5890" width="14.85546875" style="17" customWidth="1"/>
    <col min="5891" max="5891" width="13.42578125" style="17" customWidth="1"/>
    <col min="5892" max="5892" width="13.28515625" style="17" customWidth="1"/>
    <col min="5893" max="5893" width="14.7109375" style="17" customWidth="1"/>
    <col min="5894" max="5894" width="15.42578125" style="17" customWidth="1"/>
    <col min="5895" max="5895" width="14.42578125" style="17" customWidth="1"/>
    <col min="5896" max="5896" width="15.42578125" style="17" customWidth="1"/>
    <col min="5897" max="5897" width="16.140625" style="17" customWidth="1"/>
    <col min="5898" max="5898" width="20.140625" style="17" customWidth="1"/>
    <col min="5899" max="6144" width="10.85546875" style="17"/>
    <col min="6145" max="6145" width="37.85546875" style="17" customWidth="1"/>
    <col min="6146" max="6146" width="14.85546875" style="17" customWidth="1"/>
    <col min="6147" max="6147" width="13.42578125" style="17" customWidth="1"/>
    <col min="6148" max="6148" width="13.28515625" style="17" customWidth="1"/>
    <col min="6149" max="6149" width="14.7109375" style="17" customWidth="1"/>
    <col min="6150" max="6150" width="15.42578125" style="17" customWidth="1"/>
    <col min="6151" max="6151" width="14.42578125" style="17" customWidth="1"/>
    <col min="6152" max="6152" width="15.42578125" style="17" customWidth="1"/>
    <col min="6153" max="6153" width="16.140625" style="17" customWidth="1"/>
    <col min="6154" max="6154" width="20.140625" style="17" customWidth="1"/>
    <col min="6155" max="6400" width="10.85546875" style="17"/>
    <col min="6401" max="6401" width="37.85546875" style="17" customWidth="1"/>
    <col min="6402" max="6402" width="14.85546875" style="17" customWidth="1"/>
    <col min="6403" max="6403" width="13.42578125" style="17" customWidth="1"/>
    <col min="6404" max="6404" width="13.28515625" style="17" customWidth="1"/>
    <col min="6405" max="6405" width="14.7109375" style="17" customWidth="1"/>
    <col min="6406" max="6406" width="15.42578125" style="17" customWidth="1"/>
    <col min="6407" max="6407" width="14.42578125" style="17" customWidth="1"/>
    <col min="6408" max="6408" width="15.42578125" style="17" customWidth="1"/>
    <col min="6409" max="6409" width="16.140625" style="17" customWidth="1"/>
    <col min="6410" max="6410" width="20.140625" style="17" customWidth="1"/>
    <col min="6411" max="6656" width="10.85546875" style="17"/>
    <col min="6657" max="6657" width="37.85546875" style="17" customWidth="1"/>
    <col min="6658" max="6658" width="14.85546875" style="17" customWidth="1"/>
    <col min="6659" max="6659" width="13.42578125" style="17" customWidth="1"/>
    <col min="6660" max="6660" width="13.28515625" style="17" customWidth="1"/>
    <col min="6661" max="6661" width="14.7109375" style="17" customWidth="1"/>
    <col min="6662" max="6662" width="15.42578125" style="17" customWidth="1"/>
    <col min="6663" max="6663" width="14.42578125" style="17" customWidth="1"/>
    <col min="6664" max="6664" width="15.42578125" style="17" customWidth="1"/>
    <col min="6665" max="6665" width="16.140625" style="17" customWidth="1"/>
    <col min="6666" max="6666" width="20.140625" style="17" customWidth="1"/>
    <col min="6667" max="6912" width="10.85546875" style="17"/>
    <col min="6913" max="6913" width="37.85546875" style="17" customWidth="1"/>
    <col min="6914" max="6914" width="14.85546875" style="17" customWidth="1"/>
    <col min="6915" max="6915" width="13.42578125" style="17" customWidth="1"/>
    <col min="6916" max="6916" width="13.28515625" style="17" customWidth="1"/>
    <col min="6917" max="6917" width="14.7109375" style="17" customWidth="1"/>
    <col min="6918" max="6918" width="15.42578125" style="17" customWidth="1"/>
    <col min="6919" max="6919" width="14.42578125" style="17" customWidth="1"/>
    <col min="6920" max="6920" width="15.42578125" style="17" customWidth="1"/>
    <col min="6921" max="6921" width="16.140625" style="17" customWidth="1"/>
    <col min="6922" max="6922" width="20.140625" style="17" customWidth="1"/>
    <col min="6923" max="7168" width="10.85546875" style="17"/>
    <col min="7169" max="7169" width="37.85546875" style="17" customWidth="1"/>
    <col min="7170" max="7170" width="14.85546875" style="17" customWidth="1"/>
    <col min="7171" max="7171" width="13.42578125" style="17" customWidth="1"/>
    <col min="7172" max="7172" width="13.28515625" style="17" customWidth="1"/>
    <col min="7173" max="7173" width="14.7109375" style="17" customWidth="1"/>
    <col min="7174" max="7174" width="15.42578125" style="17" customWidth="1"/>
    <col min="7175" max="7175" width="14.42578125" style="17" customWidth="1"/>
    <col min="7176" max="7176" width="15.42578125" style="17" customWidth="1"/>
    <col min="7177" max="7177" width="16.140625" style="17" customWidth="1"/>
    <col min="7178" max="7178" width="20.140625" style="17" customWidth="1"/>
    <col min="7179" max="7424" width="10.85546875" style="17"/>
    <col min="7425" max="7425" width="37.85546875" style="17" customWidth="1"/>
    <col min="7426" max="7426" width="14.85546875" style="17" customWidth="1"/>
    <col min="7427" max="7427" width="13.42578125" style="17" customWidth="1"/>
    <col min="7428" max="7428" width="13.28515625" style="17" customWidth="1"/>
    <col min="7429" max="7429" width="14.7109375" style="17" customWidth="1"/>
    <col min="7430" max="7430" width="15.42578125" style="17" customWidth="1"/>
    <col min="7431" max="7431" width="14.42578125" style="17" customWidth="1"/>
    <col min="7432" max="7432" width="15.42578125" style="17" customWidth="1"/>
    <col min="7433" max="7433" width="16.140625" style="17" customWidth="1"/>
    <col min="7434" max="7434" width="20.140625" style="17" customWidth="1"/>
    <col min="7435" max="7680" width="10.85546875" style="17"/>
    <col min="7681" max="7681" width="37.85546875" style="17" customWidth="1"/>
    <col min="7682" max="7682" width="14.85546875" style="17" customWidth="1"/>
    <col min="7683" max="7683" width="13.42578125" style="17" customWidth="1"/>
    <col min="7684" max="7684" width="13.28515625" style="17" customWidth="1"/>
    <col min="7685" max="7685" width="14.7109375" style="17" customWidth="1"/>
    <col min="7686" max="7686" width="15.42578125" style="17" customWidth="1"/>
    <col min="7687" max="7687" width="14.42578125" style="17" customWidth="1"/>
    <col min="7688" max="7688" width="15.42578125" style="17" customWidth="1"/>
    <col min="7689" max="7689" width="16.140625" style="17" customWidth="1"/>
    <col min="7690" max="7690" width="20.140625" style="17" customWidth="1"/>
    <col min="7691" max="7936" width="10.85546875" style="17"/>
    <col min="7937" max="7937" width="37.85546875" style="17" customWidth="1"/>
    <col min="7938" max="7938" width="14.85546875" style="17" customWidth="1"/>
    <col min="7939" max="7939" width="13.42578125" style="17" customWidth="1"/>
    <col min="7940" max="7940" width="13.28515625" style="17" customWidth="1"/>
    <col min="7941" max="7941" width="14.7109375" style="17" customWidth="1"/>
    <col min="7942" max="7942" width="15.42578125" style="17" customWidth="1"/>
    <col min="7943" max="7943" width="14.42578125" style="17" customWidth="1"/>
    <col min="7944" max="7944" width="15.42578125" style="17" customWidth="1"/>
    <col min="7945" max="7945" width="16.140625" style="17" customWidth="1"/>
    <col min="7946" max="7946" width="20.140625" style="17" customWidth="1"/>
    <col min="7947" max="8192" width="10.85546875" style="17"/>
    <col min="8193" max="8193" width="37.85546875" style="17" customWidth="1"/>
    <col min="8194" max="8194" width="14.85546875" style="17" customWidth="1"/>
    <col min="8195" max="8195" width="13.42578125" style="17" customWidth="1"/>
    <col min="8196" max="8196" width="13.28515625" style="17" customWidth="1"/>
    <col min="8197" max="8197" width="14.7109375" style="17" customWidth="1"/>
    <col min="8198" max="8198" width="15.42578125" style="17" customWidth="1"/>
    <col min="8199" max="8199" width="14.42578125" style="17" customWidth="1"/>
    <col min="8200" max="8200" width="15.42578125" style="17" customWidth="1"/>
    <col min="8201" max="8201" width="16.140625" style="17" customWidth="1"/>
    <col min="8202" max="8202" width="20.140625" style="17" customWidth="1"/>
    <col min="8203" max="8448" width="10.85546875" style="17"/>
    <col min="8449" max="8449" width="37.85546875" style="17" customWidth="1"/>
    <col min="8450" max="8450" width="14.85546875" style="17" customWidth="1"/>
    <col min="8451" max="8451" width="13.42578125" style="17" customWidth="1"/>
    <col min="8452" max="8452" width="13.28515625" style="17" customWidth="1"/>
    <col min="8453" max="8453" width="14.7109375" style="17" customWidth="1"/>
    <col min="8454" max="8454" width="15.42578125" style="17" customWidth="1"/>
    <col min="8455" max="8455" width="14.42578125" style="17" customWidth="1"/>
    <col min="8456" max="8456" width="15.42578125" style="17" customWidth="1"/>
    <col min="8457" max="8457" width="16.140625" style="17" customWidth="1"/>
    <col min="8458" max="8458" width="20.140625" style="17" customWidth="1"/>
    <col min="8459" max="8704" width="10.85546875" style="17"/>
    <col min="8705" max="8705" width="37.85546875" style="17" customWidth="1"/>
    <col min="8706" max="8706" width="14.85546875" style="17" customWidth="1"/>
    <col min="8707" max="8707" width="13.42578125" style="17" customWidth="1"/>
    <col min="8708" max="8708" width="13.28515625" style="17" customWidth="1"/>
    <col min="8709" max="8709" width="14.7109375" style="17" customWidth="1"/>
    <col min="8710" max="8710" width="15.42578125" style="17" customWidth="1"/>
    <col min="8711" max="8711" width="14.42578125" style="17" customWidth="1"/>
    <col min="8712" max="8712" width="15.42578125" style="17" customWidth="1"/>
    <col min="8713" max="8713" width="16.140625" style="17" customWidth="1"/>
    <col min="8714" max="8714" width="20.140625" style="17" customWidth="1"/>
    <col min="8715" max="8960" width="10.85546875" style="17"/>
    <col min="8961" max="8961" width="37.85546875" style="17" customWidth="1"/>
    <col min="8962" max="8962" width="14.85546875" style="17" customWidth="1"/>
    <col min="8963" max="8963" width="13.42578125" style="17" customWidth="1"/>
    <col min="8964" max="8964" width="13.28515625" style="17" customWidth="1"/>
    <col min="8965" max="8965" width="14.7109375" style="17" customWidth="1"/>
    <col min="8966" max="8966" width="15.42578125" style="17" customWidth="1"/>
    <col min="8967" max="8967" width="14.42578125" style="17" customWidth="1"/>
    <col min="8968" max="8968" width="15.42578125" style="17" customWidth="1"/>
    <col min="8969" max="8969" width="16.140625" style="17" customWidth="1"/>
    <col min="8970" max="8970" width="20.140625" style="17" customWidth="1"/>
    <col min="8971" max="9216" width="10.85546875" style="17"/>
    <col min="9217" max="9217" width="37.85546875" style="17" customWidth="1"/>
    <col min="9218" max="9218" width="14.85546875" style="17" customWidth="1"/>
    <col min="9219" max="9219" width="13.42578125" style="17" customWidth="1"/>
    <col min="9220" max="9220" width="13.28515625" style="17" customWidth="1"/>
    <col min="9221" max="9221" width="14.7109375" style="17" customWidth="1"/>
    <col min="9222" max="9222" width="15.42578125" style="17" customWidth="1"/>
    <col min="9223" max="9223" width="14.42578125" style="17" customWidth="1"/>
    <col min="9224" max="9224" width="15.42578125" style="17" customWidth="1"/>
    <col min="9225" max="9225" width="16.140625" style="17" customWidth="1"/>
    <col min="9226" max="9226" width="20.140625" style="17" customWidth="1"/>
    <col min="9227" max="9472" width="10.85546875" style="17"/>
    <col min="9473" max="9473" width="37.85546875" style="17" customWidth="1"/>
    <col min="9474" max="9474" width="14.85546875" style="17" customWidth="1"/>
    <col min="9475" max="9475" width="13.42578125" style="17" customWidth="1"/>
    <col min="9476" max="9476" width="13.28515625" style="17" customWidth="1"/>
    <col min="9477" max="9477" width="14.7109375" style="17" customWidth="1"/>
    <col min="9478" max="9478" width="15.42578125" style="17" customWidth="1"/>
    <col min="9479" max="9479" width="14.42578125" style="17" customWidth="1"/>
    <col min="9480" max="9480" width="15.42578125" style="17" customWidth="1"/>
    <col min="9481" max="9481" width="16.140625" style="17" customWidth="1"/>
    <col min="9482" max="9482" width="20.140625" style="17" customWidth="1"/>
    <col min="9483" max="9728" width="10.85546875" style="17"/>
    <col min="9729" max="9729" width="37.85546875" style="17" customWidth="1"/>
    <col min="9730" max="9730" width="14.85546875" style="17" customWidth="1"/>
    <col min="9731" max="9731" width="13.42578125" style="17" customWidth="1"/>
    <col min="9732" max="9732" width="13.28515625" style="17" customWidth="1"/>
    <col min="9733" max="9733" width="14.7109375" style="17" customWidth="1"/>
    <col min="9734" max="9734" width="15.42578125" style="17" customWidth="1"/>
    <col min="9735" max="9735" width="14.42578125" style="17" customWidth="1"/>
    <col min="9736" max="9736" width="15.42578125" style="17" customWidth="1"/>
    <col min="9737" max="9737" width="16.140625" style="17" customWidth="1"/>
    <col min="9738" max="9738" width="20.140625" style="17" customWidth="1"/>
    <col min="9739" max="9984" width="10.85546875" style="17"/>
    <col min="9985" max="9985" width="37.85546875" style="17" customWidth="1"/>
    <col min="9986" max="9986" width="14.85546875" style="17" customWidth="1"/>
    <col min="9987" max="9987" width="13.42578125" style="17" customWidth="1"/>
    <col min="9988" max="9988" width="13.28515625" style="17" customWidth="1"/>
    <col min="9989" max="9989" width="14.7109375" style="17" customWidth="1"/>
    <col min="9990" max="9990" width="15.42578125" style="17" customWidth="1"/>
    <col min="9991" max="9991" width="14.42578125" style="17" customWidth="1"/>
    <col min="9992" max="9992" width="15.42578125" style="17" customWidth="1"/>
    <col min="9993" max="9993" width="16.140625" style="17" customWidth="1"/>
    <col min="9994" max="9994" width="20.140625" style="17" customWidth="1"/>
    <col min="9995" max="10240" width="10.85546875" style="17"/>
    <col min="10241" max="10241" width="37.85546875" style="17" customWidth="1"/>
    <col min="10242" max="10242" width="14.85546875" style="17" customWidth="1"/>
    <col min="10243" max="10243" width="13.42578125" style="17" customWidth="1"/>
    <col min="10244" max="10244" width="13.28515625" style="17" customWidth="1"/>
    <col min="10245" max="10245" width="14.7109375" style="17" customWidth="1"/>
    <col min="10246" max="10246" width="15.42578125" style="17" customWidth="1"/>
    <col min="10247" max="10247" width="14.42578125" style="17" customWidth="1"/>
    <col min="10248" max="10248" width="15.42578125" style="17" customWidth="1"/>
    <col min="10249" max="10249" width="16.140625" style="17" customWidth="1"/>
    <col min="10250" max="10250" width="20.140625" style="17" customWidth="1"/>
    <col min="10251" max="10496" width="10.85546875" style="17"/>
    <col min="10497" max="10497" width="37.85546875" style="17" customWidth="1"/>
    <col min="10498" max="10498" width="14.85546875" style="17" customWidth="1"/>
    <col min="10499" max="10499" width="13.42578125" style="17" customWidth="1"/>
    <col min="10500" max="10500" width="13.28515625" style="17" customWidth="1"/>
    <col min="10501" max="10501" width="14.7109375" style="17" customWidth="1"/>
    <col min="10502" max="10502" width="15.42578125" style="17" customWidth="1"/>
    <col min="10503" max="10503" width="14.42578125" style="17" customWidth="1"/>
    <col min="10504" max="10504" width="15.42578125" style="17" customWidth="1"/>
    <col min="10505" max="10505" width="16.140625" style="17" customWidth="1"/>
    <col min="10506" max="10506" width="20.140625" style="17" customWidth="1"/>
    <col min="10507" max="10752" width="10.85546875" style="17"/>
    <col min="10753" max="10753" width="37.85546875" style="17" customWidth="1"/>
    <col min="10754" max="10754" width="14.85546875" style="17" customWidth="1"/>
    <col min="10755" max="10755" width="13.42578125" style="17" customWidth="1"/>
    <col min="10756" max="10756" width="13.28515625" style="17" customWidth="1"/>
    <col min="10757" max="10757" width="14.7109375" style="17" customWidth="1"/>
    <col min="10758" max="10758" width="15.42578125" style="17" customWidth="1"/>
    <col min="10759" max="10759" width="14.42578125" style="17" customWidth="1"/>
    <col min="10760" max="10760" width="15.42578125" style="17" customWidth="1"/>
    <col min="10761" max="10761" width="16.140625" style="17" customWidth="1"/>
    <col min="10762" max="10762" width="20.140625" style="17" customWidth="1"/>
    <col min="10763" max="11008" width="10.85546875" style="17"/>
    <col min="11009" max="11009" width="37.85546875" style="17" customWidth="1"/>
    <col min="11010" max="11010" width="14.85546875" style="17" customWidth="1"/>
    <col min="11011" max="11011" width="13.42578125" style="17" customWidth="1"/>
    <col min="11012" max="11012" width="13.28515625" style="17" customWidth="1"/>
    <col min="11013" max="11013" width="14.7109375" style="17" customWidth="1"/>
    <col min="11014" max="11014" width="15.42578125" style="17" customWidth="1"/>
    <col min="11015" max="11015" width="14.42578125" style="17" customWidth="1"/>
    <col min="11016" max="11016" width="15.42578125" style="17" customWidth="1"/>
    <col min="11017" max="11017" width="16.140625" style="17" customWidth="1"/>
    <col min="11018" max="11018" width="20.140625" style="17" customWidth="1"/>
    <col min="11019" max="11264" width="10.85546875" style="17"/>
    <col min="11265" max="11265" width="37.85546875" style="17" customWidth="1"/>
    <col min="11266" max="11266" width="14.85546875" style="17" customWidth="1"/>
    <col min="11267" max="11267" width="13.42578125" style="17" customWidth="1"/>
    <col min="11268" max="11268" width="13.28515625" style="17" customWidth="1"/>
    <col min="11269" max="11269" width="14.7109375" style="17" customWidth="1"/>
    <col min="11270" max="11270" width="15.42578125" style="17" customWidth="1"/>
    <col min="11271" max="11271" width="14.42578125" style="17" customWidth="1"/>
    <col min="11272" max="11272" width="15.42578125" style="17" customWidth="1"/>
    <col min="11273" max="11273" width="16.140625" style="17" customWidth="1"/>
    <col min="11274" max="11274" width="20.140625" style="17" customWidth="1"/>
    <col min="11275" max="11520" width="10.85546875" style="17"/>
    <col min="11521" max="11521" width="37.85546875" style="17" customWidth="1"/>
    <col min="11522" max="11522" width="14.85546875" style="17" customWidth="1"/>
    <col min="11523" max="11523" width="13.42578125" style="17" customWidth="1"/>
    <col min="11524" max="11524" width="13.28515625" style="17" customWidth="1"/>
    <col min="11525" max="11525" width="14.7109375" style="17" customWidth="1"/>
    <col min="11526" max="11526" width="15.42578125" style="17" customWidth="1"/>
    <col min="11527" max="11527" width="14.42578125" style="17" customWidth="1"/>
    <col min="11528" max="11528" width="15.42578125" style="17" customWidth="1"/>
    <col min="11529" max="11529" width="16.140625" style="17" customWidth="1"/>
    <col min="11530" max="11530" width="20.140625" style="17" customWidth="1"/>
    <col min="11531" max="11776" width="10.85546875" style="17"/>
    <col min="11777" max="11777" width="37.85546875" style="17" customWidth="1"/>
    <col min="11778" max="11778" width="14.85546875" style="17" customWidth="1"/>
    <col min="11779" max="11779" width="13.42578125" style="17" customWidth="1"/>
    <col min="11780" max="11780" width="13.28515625" style="17" customWidth="1"/>
    <col min="11781" max="11781" width="14.7109375" style="17" customWidth="1"/>
    <col min="11782" max="11782" width="15.42578125" style="17" customWidth="1"/>
    <col min="11783" max="11783" width="14.42578125" style="17" customWidth="1"/>
    <col min="11784" max="11784" width="15.42578125" style="17" customWidth="1"/>
    <col min="11785" max="11785" width="16.140625" style="17" customWidth="1"/>
    <col min="11786" max="11786" width="20.140625" style="17" customWidth="1"/>
    <col min="11787" max="12032" width="10.85546875" style="17"/>
    <col min="12033" max="12033" width="37.85546875" style="17" customWidth="1"/>
    <col min="12034" max="12034" width="14.85546875" style="17" customWidth="1"/>
    <col min="12035" max="12035" width="13.42578125" style="17" customWidth="1"/>
    <col min="12036" max="12036" width="13.28515625" style="17" customWidth="1"/>
    <col min="12037" max="12037" width="14.7109375" style="17" customWidth="1"/>
    <col min="12038" max="12038" width="15.42578125" style="17" customWidth="1"/>
    <col min="12039" max="12039" width="14.42578125" style="17" customWidth="1"/>
    <col min="12040" max="12040" width="15.42578125" style="17" customWidth="1"/>
    <col min="12041" max="12041" width="16.140625" style="17" customWidth="1"/>
    <col min="12042" max="12042" width="20.140625" style="17" customWidth="1"/>
    <col min="12043" max="12288" width="10.85546875" style="17"/>
    <col min="12289" max="12289" width="37.85546875" style="17" customWidth="1"/>
    <col min="12290" max="12290" width="14.85546875" style="17" customWidth="1"/>
    <col min="12291" max="12291" width="13.42578125" style="17" customWidth="1"/>
    <col min="12292" max="12292" width="13.28515625" style="17" customWidth="1"/>
    <col min="12293" max="12293" width="14.7109375" style="17" customWidth="1"/>
    <col min="12294" max="12294" width="15.42578125" style="17" customWidth="1"/>
    <col min="12295" max="12295" width="14.42578125" style="17" customWidth="1"/>
    <col min="12296" max="12296" width="15.42578125" style="17" customWidth="1"/>
    <col min="12297" max="12297" width="16.140625" style="17" customWidth="1"/>
    <col min="12298" max="12298" width="20.140625" style="17" customWidth="1"/>
    <col min="12299" max="12544" width="10.85546875" style="17"/>
    <col min="12545" max="12545" width="37.85546875" style="17" customWidth="1"/>
    <col min="12546" max="12546" width="14.85546875" style="17" customWidth="1"/>
    <col min="12547" max="12547" width="13.42578125" style="17" customWidth="1"/>
    <col min="12548" max="12548" width="13.28515625" style="17" customWidth="1"/>
    <col min="12549" max="12549" width="14.7109375" style="17" customWidth="1"/>
    <col min="12550" max="12550" width="15.42578125" style="17" customWidth="1"/>
    <col min="12551" max="12551" width="14.42578125" style="17" customWidth="1"/>
    <col min="12552" max="12552" width="15.42578125" style="17" customWidth="1"/>
    <col min="12553" max="12553" width="16.140625" style="17" customWidth="1"/>
    <col min="12554" max="12554" width="20.140625" style="17" customWidth="1"/>
    <col min="12555" max="12800" width="10.85546875" style="17"/>
    <col min="12801" max="12801" width="37.85546875" style="17" customWidth="1"/>
    <col min="12802" max="12802" width="14.85546875" style="17" customWidth="1"/>
    <col min="12803" max="12803" width="13.42578125" style="17" customWidth="1"/>
    <col min="12804" max="12804" width="13.28515625" style="17" customWidth="1"/>
    <col min="12805" max="12805" width="14.7109375" style="17" customWidth="1"/>
    <col min="12806" max="12806" width="15.42578125" style="17" customWidth="1"/>
    <col min="12807" max="12807" width="14.42578125" style="17" customWidth="1"/>
    <col min="12808" max="12808" width="15.42578125" style="17" customWidth="1"/>
    <col min="12809" max="12809" width="16.140625" style="17" customWidth="1"/>
    <col min="12810" max="12810" width="20.140625" style="17" customWidth="1"/>
    <col min="12811" max="13056" width="10.85546875" style="17"/>
    <col min="13057" max="13057" width="37.85546875" style="17" customWidth="1"/>
    <col min="13058" max="13058" width="14.85546875" style="17" customWidth="1"/>
    <col min="13059" max="13059" width="13.42578125" style="17" customWidth="1"/>
    <col min="13060" max="13060" width="13.28515625" style="17" customWidth="1"/>
    <col min="13061" max="13061" width="14.7109375" style="17" customWidth="1"/>
    <col min="13062" max="13062" width="15.42578125" style="17" customWidth="1"/>
    <col min="13063" max="13063" width="14.42578125" style="17" customWidth="1"/>
    <col min="13064" max="13064" width="15.42578125" style="17" customWidth="1"/>
    <col min="13065" max="13065" width="16.140625" style="17" customWidth="1"/>
    <col min="13066" max="13066" width="20.140625" style="17" customWidth="1"/>
    <col min="13067" max="13312" width="10.85546875" style="17"/>
    <col min="13313" max="13313" width="37.85546875" style="17" customWidth="1"/>
    <col min="13314" max="13314" width="14.85546875" style="17" customWidth="1"/>
    <col min="13315" max="13315" width="13.42578125" style="17" customWidth="1"/>
    <col min="13316" max="13316" width="13.28515625" style="17" customWidth="1"/>
    <col min="13317" max="13317" width="14.7109375" style="17" customWidth="1"/>
    <col min="13318" max="13318" width="15.42578125" style="17" customWidth="1"/>
    <col min="13319" max="13319" width="14.42578125" style="17" customWidth="1"/>
    <col min="13320" max="13320" width="15.42578125" style="17" customWidth="1"/>
    <col min="13321" max="13321" width="16.140625" style="17" customWidth="1"/>
    <col min="13322" max="13322" width="20.140625" style="17" customWidth="1"/>
    <col min="13323" max="13568" width="10.85546875" style="17"/>
    <col min="13569" max="13569" width="37.85546875" style="17" customWidth="1"/>
    <col min="13570" max="13570" width="14.85546875" style="17" customWidth="1"/>
    <col min="13571" max="13571" width="13.42578125" style="17" customWidth="1"/>
    <col min="13572" max="13572" width="13.28515625" style="17" customWidth="1"/>
    <col min="13573" max="13573" width="14.7109375" style="17" customWidth="1"/>
    <col min="13574" max="13574" width="15.42578125" style="17" customWidth="1"/>
    <col min="13575" max="13575" width="14.42578125" style="17" customWidth="1"/>
    <col min="13576" max="13576" width="15.42578125" style="17" customWidth="1"/>
    <col min="13577" max="13577" width="16.140625" style="17" customWidth="1"/>
    <col min="13578" max="13578" width="20.140625" style="17" customWidth="1"/>
    <col min="13579" max="13824" width="10.85546875" style="17"/>
    <col min="13825" max="13825" width="37.85546875" style="17" customWidth="1"/>
    <col min="13826" max="13826" width="14.85546875" style="17" customWidth="1"/>
    <col min="13827" max="13827" width="13.42578125" style="17" customWidth="1"/>
    <col min="13828" max="13828" width="13.28515625" style="17" customWidth="1"/>
    <col min="13829" max="13829" width="14.7109375" style="17" customWidth="1"/>
    <col min="13830" max="13830" width="15.42578125" style="17" customWidth="1"/>
    <col min="13831" max="13831" width="14.42578125" style="17" customWidth="1"/>
    <col min="13832" max="13832" width="15.42578125" style="17" customWidth="1"/>
    <col min="13833" max="13833" width="16.140625" style="17" customWidth="1"/>
    <col min="13834" max="13834" width="20.140625" style="17" customWidth="1"/>
    <col min="13835" max="14080" width="10.85546875" style="17"/>
    <col min="14081" max="14081" width="37.85546875" style="17" customWidth="1"/>
    <col min="14082" max="14082" width="14.85546875" style="17" customWidth="1"/>
    <col min="14083" max="14083" width="13.42578125" style="17" customWidth="1"/>
    <col min="14084" max="14084" width="13.28515625" style="17" customWidth="1"/>
    <col min="14085" max="14085" width="14.7109375" style="17" customWidth="1"/>
    <col min="14086" max="14086" width="15.42578125" style="17" customWidth="1"/>
    <col min="14087" max="14087" width="14.42578125" style="17" customWidth="1"/>
    <col min="14088" max="14088" width="15.42578125" style="17" customWidth="1"/>
    <col min="14089" max="14089" width="16.140625" style="17" customWidth="1"/>
    <col min="14090" max="14090" width="20.140625" style="17" customWidth="1"/>
    <col min="14091" max="14336" width="10.85546875" style="17"/>
    <col min="14337" max="14337" width="37.85546875" style="17" customWidth="1"/>
    <col min="14338" max="14338" width="14.85546875" style="17" customWidth="1"/>
    <col min="14339" max="14339" width="13.42578125" style="17" customWidth="1"/>
    <col min="14340" max="14340" width="13.28515625" style="17" customWidth="1"/>
    <col min="14341" max="14341" width="14.7109375" style="17" customWidth="1"/>
    <col min="14342" max="14342" width="15.42578125" style="17" customWidth="1"/>
    <col min="14343" max="14343" width="14.42578125" style="17" customWidth="1"/>
    <col min="14344" max="14344" width="15.42578125" style="17" customWidth="1"/>
    <col min="14345" max="14345" width="16.140625" style="17" customWidth="1"/>
    <col min="14346" max="14346" width="20.140625" style="17" customWidth="1"/>
    <col min="14347" max="14592" width="10.85546875" style="17"/>
    <col min="14593" max="14593" width="37.85546875" style="17" customWidth="1"/>
    <col min="14594" max="14594" width="14.85546875" style="17" customWidth="1"/>
    <col min="14595" max="14595" width="13.42578125" style="17" customWidth="1"/>
    <col min="14596" max="14596" width="13.28515625" style="17" customWidth="1"/>
    <col min="14597" max="14597" width="14.7109375" style="17" customWidth="1"/>
    <col min="14598" max="14598" width="15.42578125" style="17" customWidth="1"/>
    <col min="14599" max="14599" width="14.42578125" style="17" customWidth="1"/>
    <col min="14600" max="14600" width="15.42578125" style="17" customWidth="1"/>
    <col min="14601" max="14601" width="16.140625" style="17" customWidth="1"/>
    <col min="14602" max="14602" width="20.140625" style="17" customWidth="1"/>
    <col min="14603" max="14848" width="10.85546875" style="17"/>
    <col min="14849" max="14849" width="37.85546875" style="17" customWidth="1"/>
    <col min="14850" max="14850" width="14.85546875" style="17" customWidth="1"/>
    <col min="14851" max="14851" width="13.42578125" style="17" customWidth="1"/>
    <col min="14852" max="14852" width="13.28515625" style="17" customWidth="1"/>
    <col min="14853" max="14853" width="14.7109375" style="17" customWidth="1"/>
    <col min="14854" max="14854" width="15.42578125" style="17" customWidth="1"/>
    <col min="14855" max="14855" width="14.42578125" style="17" customWidth="1"/>
    <col min="14856" max="14856" width="15.42578125" style="17" customWidth="1"/>
    <col min="14857" max="14857" width="16.140625" style="17" customWidth="1"/>
    <col min="14858" max="14858" width="20.140625" style="17" customWidth="1"/>
    <col min="14859" max="15104" width="10.85546875" style="17"/>
    <col min="15105" max="15105" width="37.85546875" style="17" customWidth="1"/>
    <col min="15106" max="15106" width="14.85546875" style="17" customWidth="1"/>
    <col min="15107" max="15107" width="13.42578125" style="17" customWidth="1"/>
    <col min="15108" max="15108" width="13.28515625" style="17" customWidth="1"/>
    <col min="15109" max="15109" width="14.7109375" style="17" customWidth="1"/>
    <col min="15110" max="15110" width="15.42578125" style="17" customWidth="1"/>
    <col min="15111" max="15111" width="14.42578125" style="17" customWidth="1"/>
    <col min="15112" max="15112" width="15.42578125" style="17" customWidth="1"/>
    <col min="15113" max="15113" width="16.140625" style="17" customWidth="1"/>
    <col min="15114" max="15114" width="20.140625" style="17" customWidth="1"/>
    <col min="15115" max="15360" width="10.85546875" style="17"/>
    <col min="15361" max="15361" width="37.85546875" style="17" customWidth="1"/>
    <col min="15362" max="15362" width="14.85546875" style="17" customWidth="1"/>
    <col min="15363" max="15363" width="13.42578125" style="17" customWidth="1"/>
    <col min="15364" max="15364" width="13.28515625" style="17" customWidth="1"/>
    <col min="15365" max="15365" width="14.7109375" style="17" customWidth="1"/>
    <col min="15366" max="15366" width="15.42578125" style="17" customWidth="1"/>
    <col min="15367" max="15367" width="14.42578125" style="17" customWidth="1"/>
    <col min="15368" max="15368" width="15.42578125" style="17" customWidth="1"/>
    <col min="15369" max="15369" width="16.140625" style="17" customWidth="1"/>
    <col min="15370" max="15370" width="20.140625" style="17" customWidth="1"/>
    <col min="15371" max="15616" width="10.85546875" style="17"/>
    <col min="15617" max="15617" width="37.85546875" style="17" customWidth="1"/>
    <col min="15618" max="15618" width="14.85546875" style="17" customWidth="1"/>
    <col min="15619" max="15619" width="13.42578125" style="17" customWidth="1"/>
    <col min="15620" max="15620" width="13.28515625" style="17" customWidth="1"/>
    <col min="15621" max="15621" width="14.7109375" style="17" customWidth="1"/>
    <col min="15622" max="15622" width="15.42578125" style="17" customWidth="1"/>
    <col min="15623" max="15623" width="14.42578125" style="17" customWidth="1"/>
    <col min="15624" max="15624" width="15.42578125" style="17" customWidth="1"/>
    <col min="15625" max="15625" width="16.140625" style="17" customWidth="1"/>
    <col min="15626" max="15626" width="20.140625" style="17" customWidth="1"/>
    <col min="15627" max="15872" width="10.85546875" style="17"/>
    <col min="15873" max="15873" width="37.85546875" style="17" customWidth="1"/>
    <col min="15874" max="15874" width="14.85546875" style="17" customWidth="1"/>
    <col min="15875" max="15875" width="13.42578125" style="17" customWidth="1"/>
    <col min="15876" max="15876" width="13.28515625" style="17" customWidth="1"/>
    <col min="15877" max="15877" width="14.7109375" style="17" customWidth="1"/>
    <col min="15878" max="15878" width="15.42578125" style="17" customWidth="1"/>
    <col min="15879" max="15879" width="14.42578125" style="17" customWidth="1"/>
    <col min="15880" max="15880" width="15.42578125" style="17" customWidth="1"/>
    <col min="15881" max="15881" width="16.140625" style="17" customWidth="1"/>
    <col min="15882" max="15882" width="20.140625" style="17" customWidth="1"/>
    <col min="15883" max="16128" width="10.85546875" style="17"/>
    <col min="16129" max="16129" width="37.85546875" style="17" customWidth="1"/>
    <col min="16130" max="16130" width="14.85546875" style="17" customWidth="1"/>
    <col min="16131" max="16131" width="13.42578125" style="17" customWidth="1"/>
    <col min="16132" max="16132" width="13.28515625" style="17" customWidth="1"/>
    <col min="16133" max="16133" width="14.7109375" style="17" customWidth="1"/>
    <col min="16134" max="16134" width="15.42578125" style="17" customWidth="1"/>
    <col min="16135" max="16135" width="14.42578125" style="17" customWidth="1"/>
    <col min="16136" max="16136" width="15.42578125" style="17" customWidth="1"/>
    <col min="16137" max="16137" width="16.140625" style="17" customWidth="1"/>
    <col min="16138" max="16138" width="20.140625" style="17" customWidth="1"/>
    <col min="16139" max="16383" width="10.85546875" style="17"/>
    <col min="16384" max="16384" width="10.85546875" style="17" customWidth="1"/>
  </cols>
  <sheetData>
    <row r="1" spans="1:11" ht="15" x14ac:dyDescent="0.25">
      <c r="A1" s="1070" t="s">
        <v>3402</v>
      </c>
      <c r="B1" s="1070"/>
      <c r="C1" s="1070"/>
      <c r="D1" s="1070"/>
      <c r="E1" s="1070"/>
      <c r="F1" s="1070"/>
      <c r="G1" s="1070"/>
      <c r="H1" s="1070"/>
      <c r="I1" s="1070"/>
      <c r="J1" s="1070"/>
      <c r="K1" s="1070"/>
    </row>
    <row r="2" spans="1:11" ht="15" x14ac:dyDescent="0.25">
      <c r="A2" s="1070" t="s">
        <v>3399</v>
      </c>
      <c r="B2" s="1070"/>
      <c r="C2" s="1070"/>
      <c r="D2" s="1070"/>
      <c r="E2" s="1070"/>
      <c r="F2" s="1070"/>
      <c r="G2" s="1070"/>
      <c r="H2" s="1070"/>
      <c r="I2" s="1070"/>
      <c r="J2" s="1070"/>
      <c r="K2" s="1070"/>
    </row>
    <row r="3" spans="1:11" ht="15" x14ac:dyDescent="0.25">
      <c r="A3" s="1070" t="s">
        <v>3400</v>
      </c>
      <c r="B3" s="1070"/>
      <c r="C3" s="1070"/>
      <c r="D3" s="1070"/>
      <c r="E3" s="1070"/>
      <c r="F3" s="1070"/>
      <c r="G3" s="1070"/>
      <c r="H3" s="1070"/>
      <c r="I3" s="1070"/>
      <c r="J3" s="1070"/>
      <c r="K3" s="1070"/>
    </row>
    <row r="4" spans="1:11" ht="15" x14ac:dyDescent="0.25">
      <c r="A4" s="14"/>
      <c r="B4" s="14"/>
      <c r="C4" s="14"/>
      <c r="D4" s="14"/>
      <c r="E4" s="14"/>
      <c r="F4" s="14"/>
      <c r="G4" s="14"/>
      <c r="H4" s="14"/>
      <c r="I4" s="14"/>
      <c r="J4" s="494"/>
      <c r="K4" s="11"/>
    </row>
    <row r="5" spans="1:11" ht="15" x14ac:dyDescent="0.25">
      <c r="A5" s="1070" t="s">
        <v>3403</v>
      </c>
      <c r="B5" s="1070"/>
      <c r="C5" s="1070"/>
      <c r="D5" s="1070"/>
      <c r="E5" s="1070"/>
      <c r="F5" s="1070"/>
      <c r="G5" s="1070"/>
      <c r="H5" s="1070"/>
      <c r="I5" s="1070"/>
      <c r="J5" s="1070"/>
      <c r="K5" s="1070"/>
    </row>
    <row r="6" spans="1:11" ht="15" x14ac:dyDescent="0.25">
      <c r="A6" s="1070" t="s">
        <v>3444</v>
      </c>
      <c r="B6" s="1070"/>
      <c r="C6" s="1070"/>
      <c r="D6" s="1070"/>
      <c r="E6" s="1070"/>
      <c r="F6" s="1070"/>
      <c r="G6" s="1070"/>
      <c r="H6" s="1070"/>
      <c r="I6" s="1070"/>
      <c r="J6" s="1070"/>
      <c r="K6" s="1070"/>
    </row>
    <row r="7" spans="1:11" ht="15" x14ac:dyDescent="0.25">
      <c r="A7" s="1070" t="s">
        <v>3535</v>
      </c>
      <c r="B7" s="1070"/>
      <c r="C7" s="1070"/>
      <c r="D7" s="1070"/>
      <c r="E7" s="1070"/>
      <c r="F7" s="1070"/>
      <c r="G7" s="1070"/>
      <c r="H7" s="1070"/>
      <c r="I7" s="1070"/>
      <c r="J7" s="1070"/>
      <c r="K7" s="1070"/>
    </row>
    <row r="8" spans="1:11" x14ac:dyDescent="0.2">
      <c r="A8" s="61"/>
      <c r="B8" s="61"/>
      <c r="C8" s="61"/>
      <c r="D8" s="61"/>
      <c r="E8" s="61"/>
      <c r="F8" s="61"/>
      <c r="G8" s="61"/>
      <c r="H8" s="61"/>
      <c r="I8" s="61"/>
      <c r="J8" s="23"/>
    </row>
    <row r="9" spans="1:11" s="7" customFormat="1" ht="51" x14ac:dyDescent="0.2">
      <c r="A9" s="209"/>
      <c r="B9" s="209" t="s">
        <v>2675</v>
      </c>
      <c r="C9" s="209" t="s">
        <v>2688</v>
      </c>
      <c r="D9" s="209" t="s">
        <v>2689</v>
      </c>
      <c r="E9" s="209" t="s">
        <v>2301</v>
      </c>
      <c r="F9" s="209" t="s">
        <v>2673</v>
      </c>
      <c r="G9" s="209" t="s">
        <v>2674</v>
      </c>
      <c r="H9" s="209" t="s">
        <v>3390</v>
      </c>
      <c r="I9" s="209" t="s">
        <v>3391</v>
      </c>
      <c r="J9" s="210" t="s">
        <v>2690</v>
      </c>
      <c r="K9" s="210" t="s">
        <v>89</v>
      </c>
    </row>
    <row r="10" spans="1:11" s="7" customFormat="1" x14ac:dyDescent="0.2">
      <c r="A10" s="211"/>
      <c r="B10" s="212"/>
      <c r="C10" s="212"/>
      <c r="D10" s="212"/>
      <c r="E10" s="212"/>
      <c r="F10" s="212"/>
      <c r="G10" s="212"/>
      <c r="H10" s="212"/>
      <c r="I10" s="212"/>
      <c r="J10" s="212"/>
      <c r="K10" s="213"/>
    </row>
    <row r="11" spans="1:11" s="20" customFormat="1" x14ac:dyDescent="0.2">
      <c r="A11" s="320" t="s">
        <v>3392</v>
      </c>
      <c r="B11" s="48">
        <v>4274392.01</v>
      </c>
      <c r="C11" s="48">
        <v>-1070707.94</v>
      </c>
      <c r="D11" s="48">
        <v>-33208</v>
      </c>
      <c r="E11" s="48">
        <v>496461.11</v>
      </c>
      <c r="F11" s="48">
        <v>56131131.020000003</v>
      </c>
      <c r="G11" s="48">
        <v>76122761.25</v>
      </c>
      <c r="H11" s="48">
        <v>372946.19</v>
      </c>
      <c r="I11" s="26">
        <v>106744.35</v>
      </c>
      <c r="J11" s="26">
        <v>285392.90999999997</v>
      </c>
      <c r="K11" s="26">
        <f>SUM(B11:J11)</f>
        <v>136685912.89999998</v>
      </c>
    </row>
    <row r="12" spans="1:11" x14ac:dyDescent="0.2">
      <c r="A12" s="321"/>
      <c r="B12" s="176"/>
      <c r="C12" s="176"/>
      <c r="D12" s="176"/>
      <c r="E12" s="176"/>
      <c r="F12" s="176"/>
      <c r="G12" s="176"/>
      <c r="H12" s="176"/>
      <c r="I12" s="15"/>
      <c r="J12" s="26"/>
      <c r="K12" s="15"/>
    </row>
    <row r="13" spans="1:11" x14ac:dyDescent="0.2">
      <c r="A13" s="321" t="s">
        <v>329</v>
      </c>
      <c r="B13" s="176">
        <v>3669877.97</v>
      </c>
      <c r="C13" s="176"/>
      <c r="D13" s="176"/>
      <c r="E13" s="176"/>
      <c r="F13" s="176"/>
      <c r="G13" s="176"/>
      <c r="H13" s="176"/>
      <c r="I13" s="15"/>
      <c r="J13" s="26"/>
      <c r="K13" s="15">
        <f t="shared" ref="K13:K20" si="0">SUM(B13:J13)</f>
        <v>3669877.97</v>
      </c>
    </row>
    <row r="14" spans="1:11" x14ac:dyDescent="0.2">
      <c r="A14" s="321" t="s">
        <v>3393</v>
      </c>
      <c r="B14" s="176"/>
      <c r="C14" s="176"/>
      <c r="D14" s="176"/>
      <c r="E14" s="176">
        <v>199932.55</v>
      </c>
      <c r="F14" s="176"/>
      <c r="G14" s="176"/>
      <c r="H14" s="176"/>
      <c r="I14" s="15"/>
      <c r="J14" s="26"/>
      <c r="K14" s="15">
        <f t="shared" si="0"/>
        <v>199932.55</v>
      </c>
    </row>
    <row r="15" spans="1:11" x14ac:dyDescent="0.2">
      <c r="A15" s="321" t="s">
        <v>330</v>
      </c>
      <c r="B15" s="176">
        <v>-4274392.01</v>
      </c>
      <c r="C15" s="176"/>
      <c r="D15" s="176"/>
      <c r="E15" s="176">
        <v>212835.75</v>
      </c>
      <c r="F15" s="176"/>
      <c r="G15" s="176"/>
      <c r="H15" s="176"/>
      <c r="I15" s="15"/>
      <c r="J15" s="26"/>
      <c r="K15" s="15">
        <f t="shared" si="0"/>
        <v>-4061556.26</v>
      </c>
    </row>
    <row r="16" spans="1:11" x14ac:dyDescent="0.2">
      <c r="A16" s="322" t="s">
        <v>1110</v>
      </c>
      <c r="B16" s="176"/>
      <c r="C16" s="176"/>
      <c r="D16" s="176"/>
      <c r="E16" s="176"/>
      <c r="F16" s="176">
        <v>-56131131.020000003</v>
      </c>
      <c r="G16" s="176"/>
      <c r="H16" s="176"/>
      <c r="I16" s="15"/>
      <c r="J16" s="26"/>
      <c r="K16" s="15">
        <f t="shared" si="0"/>
        <v>-56131131.020000003</v>
      </c>
    </row>
    <row r="17" spans="1:12" x14ac:dyDescent="0.2">
      <c r="A17" s="322" t="s">
        <v>2672</v>
      </c>
      <c r="B17" s="176"/>
      <c r="C17" s="176"/>
      <c r="D17" s="176"/>
      <c r="E17" s="176"/>
      <c r="F17" s="176">
        <v>69714167.060000002</v>
      </c>
      <c r="G17" s="176"/>
      <c r="H17" s="176"/>
      <c r="I17" s="15"/>
      <c r="K17" s="15">
        <f t="shared" si="0"/>
        <v>69714167.060000002</v>
      </c>
    </row>
    <row r="18" spans="1:12" x14ac:dyDescent="0.2">
      <c r="A18" s="321" t="s">
        <v>1093</v>
      </c>
      <c r="B18" s="176"/>
      <c r="C18" s="176"/>
      <c r="D18" s="176"/>
      <c r="E18" s="176"/>
      <c r="F18" s="176"/>
      <c r="G18" s="176">
        <v>10047786.039999999</v>
      </c>
      <c r="H18" s="176"/>
      <c r="I18" s="15"/>
      <c r="K18" s="15">
        <f t="shared" si="0"/>
        <v>10047786.039999999</v>
      </c>
      <c r="L18" s="15"/>
    </row>
    <row r="19" spans="1:12" x14ac:dyDescent="0.2">
      <c r="A19" s="321" t="s">
        <v>3394</v>
      </c>
      <c r="B19" s="176"/>
      <c r="C19" s="176">
        <v>-2501831.7000000002</v>
      </c>
      <c r="D19" s="176">
        <v>25709</v>
      </c>
      <c r="E19" s="176">
        <v>-11630.17</v>
      </c>
      <c r="F19" s="176"/>
      <c r="G19" s="176"/>
      <c r="H19" s="176"/>
      <c r="I19" s="15"/>
      <c r="J19" s="26"/>
      <c r="K19" s="15">
        <f t="shared" si="0"/>
        <v>-2487752.87</v>
      </c>
    </row>
    <row r="20" spans="1:12" x14ac:dyDescent="0.2">
      <c r="A20" s="321" t="s">
        <v>1111</v>
      </c>
      <c r="B20" s="176"/>
      <c r="C20" s="176"/>
      <c r="D20" s="176"/>
      <c r="E20" s="176">
        <v>30263.200000000001</v>
      </c>
      <c r="F20" s="176"/>
      <c r="G20" s="176"/>
      <c r="H20" s="176">
        <v>-20741.63</v>
      </c>
      <c r="I20" s="176">
        <v>6587.49</v>
      </c>
      <c r="J20" s="15">
        <v>-8414.08</v>
      </c>
      <c r="K20" s="15">
        <f t="shared" si="0"/>
        <v>7694.98</v>
      </c>
    </row>
    <row r="21" spans="1:12" s="20" customFormat="1" x14ac:dyDescent="0.2">
      <c r="A21" s="322"/>
      <c r="B21" s="171"/>
      <c r="C21" s="171"/>
      <c r="D21" s="172"/>
      <c r="E21" s="172"/>
      <c r="F21" s="171"/>
      <c r="G21" s="171"/>
      <c r="H21" s="171"/>
      <c r="I21" s="171"/>
      <c r="J21" s="171"/>
      <c r="K21" s="177"/>
    </row>
    <row r="22" spans="1:12" s="20" customFormat="1" x14ac:dyDescent="0.2">
      <c r="A22" s="320" t="s">
        <v>3397</v>
      </c>
      <c r="B22" s="48">
        <f>SUM(B11:B21)</f>
        <v>3669877.9700000007</v>
      </c>
      <c r="C22" s="48">
        <f t="shared" ref="C22:J22" si="1">SUM(C11:C21)</f>
        <v>-3572539.64</v>
      </c>
      <c r="D22" s="48">
        <f t="shared" si="1"/>
        <v>-7499</v>
      </c>
      <c r="E22" s="48">
        <f t="shared" si="1"/>
        <v>927862.43999999983</v>
      </c>
      <c r="F22" s="48">
        <f t="shared" si="1"/>
        <v>69714167.060000002</v>
      </c>
      <c r="G22" s="48">
        <f t="shared" si="1"/>
        <v>86170547.289999992</v>
      </c>
      <c r="H22" s="48">
        <f t="shared" si="1"/>
        <v>352204.56</v>
      </c>
      <c r="I22" s="48">
        <f t="shared" si="1"/>
        <v>113331.84000000001</v>
      </c>
      <c r="J22" s="48">
        <f t="shared" si="1"/>
        <v>276978.82999999996</v>
      </c>
      <c r="K22" s="26">
        <f>SUM(B22:J22)</f>
        <v>157644931.35000002</v>
      </c>
    </row>
    <row r="23" spans="1:12" s="20" customFormat="1" x14ac:dyDescent="0.2">
      <c r="A23" s="320"/>
      <c r="B23" s="48"/>
      <c r="C23" s="48"/>
      <c r="D23" s="48"/>
      <c r="E23" s="48"/>
      <c r="F23" s="48"/>
      <c r="G23" s="48"/>
      <c r="H23" s="48"/>
      <c r="I23" s="48"/>
      <c r="J23" s="48"/>
      <c r="K23" s="26"/>
    </row>
    <row r="24" spans="1:12" ht="25.5" x14ac:dyDescent="0.2">
      <c r="A24" s="321" t="s">
        <v>3395</v>
      </c>
      <c r="B24" s="176">
        <f>86694776.3+285797-4342.9</f>
        <v>86976230.399999991</v>
      </c>
      <c r="C24" s="176"/>
      <c r="D24" s="176"/>
      <c r="E24" s="176"/>
      <c r="F24" s="176"/>
      <c r="G24" s="176"/>
      <c r="H24" s="176"/>
      <c r="I24" s="176"/>
      <c r="J24" s="176"/>
      <c r="K24" s="15">
        <f t="shared" ref="K24:K32" si="2">SUM(B24:J24)</f>
        <v>86976230.399999991</v>
      </c>
    </row>
    <row r="25" spans="1:12" x14ac:dyDescent="0.2">
      <c r="A25" s="321" t="s">
        <v>3393</v>
      </c>
      <c r="B25" s="176"/>
      <c r="C25" s="176"/>
      <c r="D25" s="176"/>
      <c r="E25" s="176">
        <v>0</v>
      </c>
      <c r="F25" s="176"/>
      <c r="G25" s="176"/>
      <c r="H25" s="176"/>
      <c r="I25" s="15"/>
      <c r="J25" s="26"/>
      <c r="K25" s="15">
        <f t="shared" si="2"/>
        <v>0</v>
      </c>
    </row>
    <row r="26" spans="1:12" x14ac:dyDescent="0.2">
      <c r="A26" s="321" t="s">
        <v>330</v>
      </c>
      <c r="B26" s="176">
        <f>-B22</f>
        <v>-3669877.9700000007</v>
      </c>
      <c r="C26" s="176"/>
      <c r="D26" s="176"/>
      <c r="E26" s="15">
        <f>-E14</f>
        <v>-199932.55</v>
      </c>
      <c r="F26" s="176">
        <f>-F17</f>
        <v>-69714167.060000002</v>
      </c>
      <c r="G26" s="176"/>
      <c r="H26" s="176"/>
      <c r="I26" s="176"/>
      <c r="J26" s="176"/>
      <c r="K26" s="15">
        <f t="shared" si="2"/>
        <v>-73583977.579999998</v>
      </c>
    </row>
    <row r="27" spans="1:12" x14ac:dyDescent="0.2">
      <c r="A27" s="322" t="s">
        <v>1110</v>
      </c>
      <c r="B27" s="176"/>
      <c r="C27" s="176"/>
      <c r="D27" s="176"/>
      <c r="E27" s="176"/>
      <c r="F27" s="176">
        <v>0</v>
      </c>
      <c r="G27" s="176"/>
      <c r="H27" s="176"/>
      <c r="I27" s="176"/>
      <c r="J27" s="176"/>
      <c r="K27" s="15">
        <f t="shared" si="2"/>
        <v>0</v>
      </c>
    </row>
    <row r="28" spans="1:12" x14ac:dyDescent="0.2">
      <c r="A28" s="322" t="s">
        <v>2672</v>
      </c>
      <c r="B28" s="176"/>
      <c r="C28" s="176"/>
      <c r="D28" s="176"/>
      <c r="E28" s="176"/>
      <c r="F28" s="176"/>
      <c r="G28" s="176"/>
      <c r="H28" s="176"/>
      <c r="I28" s="176"/>
      <c r="J28" s="176"/>
      <c r="K28" s="15">
        <f t="shared" si="2"/>
        <v>0</v>
      </c>
    </row>
    <row r="29" spans="1:12" x14ac:dyDescent="0.2">
      <c r="A29" s="321" t="s">
        <v>3396</v>
      </c>
      <c r="B29" s="176"/>
      <c r="C29" s="176"/>
      <c r="D29" s="176"/>
      <c r="E29" s="176">
        <f>688683.42-781452.93</f>
        <v>-92769.510000000009</v>
      </c>
      <c r="F29" s="176"/>
      <c r="G29" s="176"/>
      <c r="H29" s="176"/>
      <c r="I29" s="176"/>
      <c r="J29" s="48"/>
      <c r="K29" s="15">
        <f t="shared" si="2"/>
        <v>-92769.510000000009</v>
      </c>
    </row>
    <row r="30" spans="1:12" x14ac:dyDescent="0.2">
      <c r="A30" s="321" t="s">
        <v>1093</v>
      </c>
      <c r="B30" s="176"/>
      <c r="C30" s="176"/>
      <c r="D30" s="176"/>
      <c r="E30" s="176"/>
      <c r="F30" s="176"/>
      <c r="G30" s="176">
        <f>89526356.83-86170547.29</f>
        <v>3355809.5399999917</v>
      </c>
      <c r="H30" s="176"/>
      <c r="I30" s="176"/>
      <c r="J30" s="176"/>
      <c r="K30" s="15">
        <f t="shared" si="2"/>
        <v>3355809.5399999917</v>
      </c>
    </row>
    <row r="31" spans="1:12" x14ac:dyDescent="0.2">
      <c r="A31" s="321" t="s">
        <v>3394</v>
      </c>
      <c r="B31" s="176"/>
      <c r="C31" s="176">
        <v>0</v>
      </c>
      <c r="D31" s="176">
        <v>0</v>
      </c>
      <c r="E31" s="176">
        <v>0</v>
      </c>
      <c r="F31" s="176"/>
      <c r="G31" s="176"/>
      <c r="H31" s="176"/>
      <c r="I31" s="176"/>
      <c r="J31" s="176"/>
      <c r="K31" s="15">
        <f t="shared" si="2"/>
        <v>0</v>
      </c>
    </row>
    <row r="32" spans="1:12" x14ac:dyDescent="0.2">
      <c r="A32" s="321" t="s">
        <v>1111</v>
      </c>
      <c r="B32" s="176"/>
      <c r="C32" s="176"/>
      <c r="D32" s="176"/>
      <c r="E32" s="176"/>
      <c r="F32" s="176"/>
      <c r="G32" s="176"/>
      <c r="H32" s="176">
        <f>357275.28-352204.56</f>
        <v>5070.7200000000303</v>
      </c>
      <c r="I32" s="176">
        <f>113331.84-113331.84</f>
        <v>0</v>
      </c>
      <c r="J32" s="176">
        <f>-J22</f>
        <v>-276978.82999999996</v>
      </c>
      <c r="K32" s="15">
        <f t="shared" si="2"/>
        <v>-271908.10999999993</v>
      </c>
    </row>
    <row r="33" spans="1:11" x14ac:dyDescent="0.2">
      <c r="A33" s="322"/>
      <c r="B33" s="172"/>
      <c r="C33" s="172"/>
      <c r="D33" s="172"/>
      <c r="E33" s="172"/>
      <c r="F33" s="172"/>
      <c r="G33" s="172"/>
      <c r="H33" s="172"/>
      <c r="I33" s="172"/>
      <c r="J33" s="172"/>
      <c r="K33" s="15"/>
    </row>
    <row r="34" spans="1:11" s="20" customFormat="1" ht="13.5" thickBot="1" x14ac:dyDescent="0.25">
      <c r="A34" s="323" t="s">
        <v>3398</v>
      </c>
      <c r="B34" s="173">
        <f t="shared" ref="B34:G34" si="3">+SUM(B22:B32)</f>
        <v>86976230.399999991</v>
      </c>
      <c r="C34" s="173">
        <f t="shared" si="3"/>
        <v>-3572539.64</v>
      </c>
      <c r="D34" s="173">
        <f t="shared" si="3"/>
        <v>-7499</v>
      </c>
      <c r="E34" s="173">
        <f t="shared" si="3"/>
        <v>635160.37999999989</v>
      </c>
      <c r="F34" s="173">
        <f t="shared" si="3"/>
        <v>0</v>
      </c>
      <c r="G34" s="173">
        <f t="shared" si="3"/>
        <v>89526356.829999983</v>
      </c>
      <c r="H34" s="173">
        <f t="shared" ref="H34:J34" si="4">+SUM(H22:H32)</f>
        <v>357275.28</v>
      </c>
      <c r="I34" s="173">
        <f t="shared" si="4"/>
        <v>113331.84000000001</v>
      </c>
      <c r="J34" s="173">
        <f t="shared" si="4"/>
        <v>0</v>
      </c>
      <c r="K34" s="173">
        <f>SUM(B34:J34)</f>
        <v>174028316.08999997</v>
      </c>
    </row>
    <row r="35" spans="1:11" ht="13.5" thickTop="1" x14ac:dyDescent="0.2">
      <c r="A35" s="324"/>
      <c r="B35" s="208"/>
      <c r="C35" s="208"/>
      <c r="D35" s="208"/>
      <c r="E35" s="208"/>
      <c r="F35" s="208"/>
      <c r="G35" s="208"/>
      <c r="H35" s="208"/>
      <c r="I35" s="208"/>
      <c r="J35" s="208"/>
      <c r="K35" s="61"/>
    </row>
    <row r="36" spans="1:11" x14ac:dyDescent="0.2">
      <c r="A36" s="321"/>
      <c r="B36" s="214"/>
      <c r="C36" s="192"/>
      <c r="D36" s="174"/>
      <c r="G36" s="192"/>
      <c r="H36" s="192"/>
      <c r="I36" s="175"/>
      <c r="J36" s="9"/>
      <c r="K36" s="9"/>
    </row>
    <row r="37" spans="1:11" s="15" customFormat="1" x14ac:dyDescent="0.2">
      <c r="B37" s="214"/>
      <c r="C37" s="215"/>
      <c r="D37" s="216"/>
      <c r="F37" s="9"/>
      <c r="I37" s="215"/>
      <c r="J37" s="215"/>
    </row>
    <row r="38" spans="1:11" s="15" customFormat="1" x14ac:dyDescent="0.2">
      <c r="B38" s="214"/>
      <c r="C38" s="215"/>
      <c r="D38" s="216"/>
      <c r="G38" s="214"/>
      <c r="H38" s="214"/>
      <c r="I38" s="214"/>
      <c r="J38" s="214"/>
    </row>
    <row r="39" spans="1:11" x14ac:dyDescent="0.2">
      <c r="B39" s="15"/>
      <c r="D39" s="15"/>
    </row>
    <row r="40" spans="1:11" x14ac:dyDescent="0.2">
      <c r="D40" s="15"/>
    </row>
    <row r="41" spans="1:11" x14ac:dyDescent="0.2">
      <c r="D41" s="15"/>
    </row>
    <row r="42" spans="1:11" x14ac:dyDescent="0.2">
      <c r="D42" s="15"/>
    </row>
    <row r="43" spans="1:11" x14ac:dyDescent="0.2">
      <c r="D43" s="15"/>
    </row>
    <row r="44" spans="1:11" x14ac:dyDescent="0.2">
      <c r="D44" s="15"/>
    </row>
    <row r="45" spans="1:11" x14ac:dyDescent="0.2">
      <c r="D45" s="15"/>
    </row>
    <row r="46" spans="1:11" x14ac:dyDescent="0.2">
      <c r="D46" s="15"/>
    </row>
    <row r="47" spans="1:11" x14ac:dyDescent="0.2">
      <c r="D47" s="15"/>
    </row>
    <row r="48" spans="1:11" x14ac:dyDescent="0.2">
      <c r="D48" s="15"/>
    </row>
    <row r="49" spans="4:4" x14ac:dyDescent="0.2">
      <c r="D49" s="15"/>
    </row>
  </sheetData>
  <mergeCells count="6">
    <mergeCell ref="A7:K7"/>
    <mergeCell ref="A1:K1"/>
    <mergeCell ref="A2:K2"/>
    <mergeCell ref="A3:K3"/>
    <mergeCell ref="A5:K5"/>
    <mergeCell ref="A6:K6"/>
  </mergeCells>
  <phoneticPr fontId="0" type="noConversion"/>
  <printOptions horizontalCentered="1"/>
  <pageMargins left="0.27559055118110237" right="0.27559055118110237" top="1.4566929133858268" bottom="0.98425196850393704" header="0.94488188976377963" footer="0.86614173228346458"/>
  <pageSetup paperSize="9" scale="77" orientation="landscape" r:id="rId1"/>
  <headerFooter alignWithMargins="0">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D14" sqref="D14:D15"/>
    </sheetView>
  </sheetViews>
  <sheetFormatPr baseColWidth="10" defaultColWidth="10.85546875" defaultRowHeight="12.75" x14ac:dyDescent="0.2"/>
  <cols>
    <col min="1" max="16384" width="10.85546875" style="178"/>
  </cols>
  <sheetData/>
  <printOptions horizontalCentered="1" verticalCentered="1"/>
  <pageMargins left="0.98425196850393704" right="0.74803149606299213" top="1.3385826771653544" bottom="0.98425196850393704" header="0" footer="0"/>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74</vt:i4>
      </vt:variant>
      <vt:variant>
        <vt:lpstr>Rangos con nombre</vt:lpstr>
      </vt:variant>
      <vt:variant>
        <vt:i4>61</vt:i4>
      </vt:variant>
    </vt:vector>
  </HeadingPairs>
  <TitlesOfParts>
    <vt:vector size="135" baseType="lpstr">
      <vt:lpstr>Portada</vt:lpstr>
      <vt:lpstr>Indice</vt:lpstr>
      <vt:lpstr>Título Estados Financieros</vt:lpstr>
      <vt:lpstr>Estados Financieros</vt:lpstr>
      <vt:lpstr>Estado de Situación</vt:lpstr>
      <vt:lpstr>Estado Ingreso y Egreso</vt:lpstr>
      <vt:lpstr>Est_Flujo_efec</vt:lpstr>
      <vt:lpstr>Cambio-Patrimonio</vt:lpstr>
      <vt:lpstr>Informe Situación Presupuestari</vt:lpstr>
      <vt:lpstr>Estado Ing y Egresos</vt:lpstr>
      <vt:lpstr>Situac.Presup.</vt:lpstr>
      <vt:lpstr>Resumen Ingresos por Sec.-Clase</vt:lpstr>
      <vt:lpstr>Resumen Egresos Sec.-Obj. Gasto</vt:lpstr>
      <vt:lpstr>Ingr por Seccion</vt:lpstr>
      <vt:lpstr>Egr x Seccion</vt:lpstr>
      <vt:lpstr>Nota a los Estados Financieros</vt:lpstr>
      <vt:lpstr>Generalidades</vt:lpstr>
      <vt:lpstr>Notas</vt:lpstr>
      <vt:lpstr>Titulo anexos</vt:lpstr>
      <vt:lpstr>TITaNEXO</vt:lpstr>
      <vt:lpstr>anexo #1</vt:lpstr>
      <vt:lpstr>TITaNEXO (2)</vt:lpstr>
      <vt:lpstr>anexo #2</vt:lpstr>
      <vt:lpstr>TITaNEXO (3)</vt:lpstr>
      <vt:lpstr>anexo #3</vt:lpstr>
      <vt:lpstr>TITaNEXO (4)</vt:lpstr>
      <vt:lpstr>comp.presup.</vt:lpstr>
      <vt:lpstr>TITaNEXO (5)</vt:lpstr>
      <vt:lpstr>cédula anexo #5</vt:lpstr>
      <vt:lpstr>TITaNEXO (6) C</vt:lpstr>
      <vt:lpstr>cédula anexo 6</vt:lpstr>
      <vt:lpstr>TITaNEXO (7) C</vt:lpstr>
      <vt:lpstr>Inversiones Anexo #7</vt:lpstr>
      <vt:lpstr>TITaNEXO VE</vt:lpstr>
      <vt:lpstr>TITaNEXO (8) C</vt:lpstr>
      <vt:lpstr>FR</vt:lpstr>
      <vt:lpstr>SIT_PRES_FR</vt:lpstr>
      <vt:lpstr>ES_FR</vt:lpstr>
      <vt:lpstr>TITaNEXO (9) C</vt:lpstr>
      <vt:lpstr>EA</vt:lpstr>
      <vt:lpstr>SIT_PRES_EA</vt:lpstr>
      <vt:lpstr>ESTADO_UNIDAD_EA</vt:lpstr>
      <vt:lpstr>TITaNEXO (10)</vt:lpstr>
      <vt:lpstr>TIT_CE</vt:lpstr>
      <vt:lpstr>SIT_PRES_CE</vt:lpstr>
      <vt:lpstr>ESTADO_UNIDAD_CE</vt:lpstr>
      <vt:lpstr>tit anexo 11</vt:lpstr>
      <vt:lpstr>tit ppfc</vt:lpstr>
      <vt:lpstr>sit presup PFC</vt:lpstr>
      <vt:lpstr>posg financ compl</vt:lpstr>
      <vt:lpstr>ANEX12</vt:lpstr>
      <vt:lpstr>TITaNEXO (12) C</vt:lpstr>
      <vt:lpstr>TIT-baNEXO (12)</vt:lpstr>
      <vt:lpstr>TIT-CaNEXO (12)</vt:lpstr>
      <vt:lpstr>Situac-pres-ingre</vt:lpstr>
      <vt:lpstr>ANEXO 13 C</vt:lpstr>
      <vt:lpstr>TITaNEXO </vt:lpstr>
      <vt:lpstr>TITaNEXO (13)</vt:lpstr>
      <vt:lpstr>EGRESOS X SECCION</vt:lpstr>
      <vt:lpstr>REP180</vt:lpstr>
      <vt:lpstr>Tit_ege_obje_gasto</vt:lpstr>
      <vt:lpstr>F50RE115</vt:lpstr>
      <vt:lpstr>ANEXO 14</vt:lpstr>
      <vt:lpstr>TIT -Estado proyectos inversion</vt:lpstr>
      <vt:lpstr>TIT-PROY PROCESO DISEÑO</vt:lpstr>
      <vt:lpstr>PROYECTOS PROCESO DISEÑO</vt:lpstr>
      <vt:lpstr>TIT-PROY PROCESO LICITACION</vt:lpstr>
      <vt:lpstr>CONTRAT Y TRAM</vt:lpstr>
      <vt:lpstr>TIT-PROY PROCESO CONSTRUCCION</vt:lpstr>
      <vt:lpstr>PROYECTOS PROCESO CONSTRUCCION</vt:lpstr>
      <vt:lpstr>TIT-PROY TERMINADOS PEND LIQUID</vt:lpstr>
      <vt:lpstr>PROYECTOS TERMINADOS PEND LIQUI</vt:lpstr>
      <vt:lpstr>TIT-PROY TERMINADOS PER ANT</vt:lpstr>
      <vt:lpstr>PROYECTOS TERMINADOS PER ANT</vt:lpstr>
      <vt:lpstr>'REP180'!_F50RE180</vt:lpstr>
      <vt:lpstr>'REP180'!_F50RE180_1</vt:lpstr>
      <vt:lpstr>'anexo #2'!Área_de_impresión</vt:lpstr>
      <vt:lpstr>'anexo #3'!Área_de_impresión</vt:lpstr>
      <vt:lpstr>'cédula anexo #5'!Área_de_impresión</vt:lpstr>
      <vt:lpstr>comp.presup.!Área_de_impresión</vt:lpstr>
      <vt:lpstr>ES_FR!Área_de_impresión</vt:lpstr>
      <vt:lpstr>Est_Flujo_efec!Área_de_impresión</vt:lpstr>
      <vt:lpstr>'Estado Ing y Egresos'!Área_de_impresión</vt:lpstr>
      <vt:lpstr>'Estado Ingreso y Egreso'!Área_de_impresión</vt:lpstr>
      <vt:lpstr>ESTADO_UNIDAD_CE!Área_de_impresión</vt:lpstr>
      <vt:lpstr>ESTADO_UNIDAD_EA!Área_de_impresión</vt:lpstr>
      <vt:lpstr>'F50RE115'!Área_de_impresión</vt:lpstr>
      <vt:lpstr>Generalidades!Área_de_impresión</vt:lpstr>
      <vt:lpstr>Portada!Área_de_impresión</vt:lpstr>
      <vt:lpstr>'posg financ compl'!Área_de_impresión</vt:lpstr>
      <vt:lpstr>'PROYECTOS TERMINADOS PER ANT'!Área_de_impresión</vt:lpstr>
      <vt:lpstr>'REP180'!Área_de_impresión</vt:lpstr>
      <vt:lpstr>SIT_PRES_EA!Área_de_impresión</vt:lpstr>
      <vt:lpstr>Situac.Presup.!Área_de_impresión</vt:lpstr>
      <vt:lpstr>'Situac-pres-ingre'!Área_de_impresión</vt:lpstr>
      <vt:lpstr>Notas!OLE_LINK107</vt:lpstr>
      <vt:lpstr>Notas!OLE_LINK108</vt:lpstr>
      <vt:lpstr>Notas!OLE_LINK123</vt:lpstr>
      <vt:lpstr>Generalidades!OLE_LINK130</vt:lpstr>
      <vt:lpstr>Notas!OLE_LINK132</vt:lpstr>
      <vt:lpstr>Notas!OLE_LINK143</vt:lpstr>
      <vt:lpstr>Notas!OLE_LINK149</vt:lpstr>
      <vt:lpstr>Indice!OLE_LINK151</vt:lpstr>
      <vt:lpstr>Indice!OLE_LINK154</vt:lpstr>
      <vt:lpstr>Notas!OLE_LINK166</vt:lpstr>
      <vt:lpstr>Notas!OLE_LINK22</vt:lpstr>
      <vt:lpstr>Notas!OLE_LINK26</vt:lpstr>
      <vt:lpstr>Notas!OLE_LINK27</vt:lpstr>
      <vt:lpstr>Generalidades!OLE_LINK274</vt:lpstr>
      <vt:lpstr>Generalidades!OLE_LINK32</vt:lpstr>
      <vt:lpstr>Notas!OLE_LINK34</vt:lpstr>
      <vt:lpstr>Notas!OLE_LINK35</vt:lpstr>
      <vt:lpstr>Notas!OLE_LINK365</vt:lpstr>
      <vt:lpstr>Notas!OLE_LINK401</vt:lpstr>
      <vt:lpstr>Generalidades!OLE_LINK43</vt:lpstr>
      <vt:lpstr>Portada!OLE_LINK5</vt:lpstr>
      <vt:lpstr>Generalidades!OLE_LINK56</vt:lpstr>
      <vt:lpstr>Generalidades!OLE_LINK57</vt:lpstr>
      <vt:lpstr>Indice!OLE_LINK71</vt:lpstr>
      <vt:lpstr>Indice!OLE_LINK78</vt:lpstr>
      <vt:lpstr>Generalidades!OLE_LINK80</vt:lpstr>
      <vt:lpstr>Generalidades!OLE_LINK82</vt:lpstr>
      <vt:lpstr>Portada!OLE_LINK9</vt:lpstr>
      <vt:lpstr>Notas!OLE_LINK97</vt:lpstr>
      <vt:lpstr>'Egr x Seccion'!Títulos_a_imprimir</vt:lpstr>
      <vt:lpstr>ES_FR!Títulos_a_imprimir</vt:lpstr>
      <vt:lpstr>'Estado Ing y Egresos'!Títulos_a_imprimir</vt:lpstr>
      <vt:lpstr>ESTADO_UNIDAD_CE!Títulos_a_imprimir</vt:lpstr>
      <vt:lpstr>ESTADO_UNIDAD_EA!Títulos_a_imprimir</vt:lpstr>
      <vt:lpstr>'F50RE115'!Títulos_a_imprimir</vt:lpstr>
      <vt:lpstr>'Ingr por Seccion'!Títulos_a_imprimir</vt:lpstr>
      <vt:lpstr>'posg financ compl'!Títulos_a_imprimir</vt:lpstr>
      <vt:lpstr>'PROYECTOS PROCESO DISEÑO'!Títulos_a_imprimir</vt:lpstr>
      <vt:lpstr>'REP180'!Títulos_a_imprimir</vt:lpstr>
      <vt:lpstr>'Situac-pres-ingre'!Títulos_a_imprimir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ESTADOS FINANCIEROS DE LA UNIVERSIDAD DE COSTA RICA</dc:title>
  <dc:subject>ESTADOS FINANCIEROS</dc:subject>
  <dc:creator>UNIDAD DE ACTIVOS FIJOS</dc:creator>
  <cp:lastModifiedBy>Marlen Salas Guerrero</cp:lastModifiedBy>
  <cp:lastPrinted>2017-07-27T16:21:58Z</cp:lastPrinted>
  <dcterms:created xsi:type="dcterms:W3CDTF">1999-04-05T17:14:05Z</dcterms:created>
  <dcterms:modified xsi:type="dcterms:W3CDTF">2017-07-27T16:23:41Z</dcterms:modified>
</cp:coreProperties>
</file>